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5849fac71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56ae3cbec190487e"/>
    <x:sheet xmlns:r="http://schemas.openxmlformats.org/officeDocument/2006/relationships" name="Assumptions" sheetId="2" r:id="R04f9646b34014e6f"/>
    <x:sheet xmlns:r="http://schemas.openxmlformats.org/officeDocument/2006/relationships" name="Unit economics" sheetId="3" r:id="R29b02a87588b4f47"/>
    <x:sheet xmlns:r="http://schemas.openxmlformats.org/officeDocument/2006/relationships" name="Cash forecast" sheetId="4" r:id="R0793d6bcde9e4f6a"/>
    <x:sheet xmlns:r="http://schemas.openxmlformats.org/officeDocument/2006/relationships" name="Investment" sheetId="5" r:id="Rda843ff2dac343c3"/>
    <x:sheet xmlns:r="http://schemas.openxmlformats.org/officeDocument/2006/relationships" name="BOM" sheetId="6" r:id="R95acf274b7c24d6e"/>
    <x:sheet xmlns:r="http://schemas.openxmlformats.org/officeDocument/2006/relationships" name="Review" sheetId="7" r:id="R048d7da1def041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;(#,##0);&quot;–&quot;"/>
    <x:numFmt numFmtId="201" formatCode="$#,##0.00;($#,##0.00);&quot;–&quot;"/>
    <x:numFmt numFmtId="202" formatCode="0.00x"/>
    <x:numFmt numFmtId="203" formatCode="0.0%;(0.0%);&quot;–&quot;"/>
    <x:numFmt numFmtId="204" formatCode="mmm-yy"/>
    <x:numFmt numFmtId="205" formatCode="$#,##0;($#,##0);&quot;–&quot;"/>
    <x:numFmt numFmtId="206" formatCode="0"/>
    <x:numFmt numFmtId="207" formatCode="0.00;(0.00);0.00"/>
  </x:numFmts>
  <x:fonts count="12">
    <x:font>
      <x:sz val="11"/>
      <x:name val="Carlito"/>
    </x:font>
    <x:font>
      <x:sz val="10"/>
      <x:color rgb="FF162734"/>
      <x:name val="Arial"/>
    </x:font>
    <x:font>
      <x:b/>
      <x:sz val="16"/>
      <x:color rgb="FF142E43"/>
      <x:name val="Arial"/>
    </x:font>
    <x:font>
      <x:sz val="10"/>
      <x:color rgb="FF24705A"/>
      <x:name val="Arial"/>
    </x:font>
    <x:font>
      <x:b/>
      <x:sz val="10"/>
      <x:color rgb="FF24705A"/>
      <x:name val="Arial"/>
    </x:font>
    <x:font>
      <x:sz val="10"/>
      <x:color rgb="FF2357B8"/>
      <x:name val="Arial"/>
    </x:font>
    <x:font>
      <x:sz val="10"/>
      <x:color rgb="FF64717D"/>
      <x:name val="Arial"/>
    </x:font>
    <x:font>
      <x:b/>
      <x:sz val="10"/>
      <x:color rgb="FFFFFFFF"/>
      <x:name val="Arial"/>
    </x:font>
    <x:font>
      <x:b/>
      <x:sz val="10"/>
      <x:color rgb="FF162734"/>
      <x:name val="Arial"/>
    </x:font>
    <x:font>
      <x:i/>
      <x:sz val="10"/>
      <x:color rgb="FF162734"/>
      <x:name val="Arial"/>
    </x:font>
    <x:font>
      <x:i/>
      <x:sz val="10"/>
      <x:color rgb="FF24705A"/>
      <x:name val="Arial"/>
    </x:font>
    <x:font>
      <x:i/>
      <x:sz val="10"/>
      <x:color rgb="FF64717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7"/>
      </x:patternFill>
    </x:fill>
    <x:fill>
      <x:patternFill patternType="solid">
        <x:fgColor rgb="FF142E43"/>
      </x:patternFill>
    </x:fill>
    <x:fill>
      <x:patternFill patternType="solid">
        <x:fgColor rgb="FFE8EDF1"/>
      </x:patternFill>
    </x:fill>
    <x:fill>
      <x:patternFill patternType="solid">
        <x:fgColor rgb="FFF2F4F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98AAB8"/>
      </x:bottom>
      <x:diagonal/>
    </x:border>
    <x:border>
      <x:left style="dashed">
        <x:color rgb="FF8F9DA8"/>
      </x:left>
      <x:right style="dashed">
        <x:color rgb="FF8F9DA8"/>
      </x:right>
      <x:top style="dashed">
        <x:color rgb="FF8F9DA8"/>
      </x:top>
      <x:bottom style="dashed">
        <x:color rgb="FF8F9DA8"/>
      </x:bottom>
      <x:diagonal/>
    </x:border>
    <x:border>
      <x:left/>
      <x:right/>
      <x:top style="thin">
        <x:color rgb="FF9BAAB4"/>
      </x:top>
      <x:bottom/>
      <x:diagonal/>
    </x:border>
  </x:borders>
  <x:cellStyleXfs count="1">
    <x:xf numFmtId="0" fontId="0" fillId="0" borderId="0"/>
  </x:cellStyleXfs>
  <x:cellXfs count="6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1" fontId="8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2" fontId="5" fillId="2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203" fontId="5" fillId="2" borderId="0" xfId="0" applyNumberFormat="1" applyFont="1" applyFill="1" applyBorder="1" applyAlignment="1">
      <x:alignment vertical="center"/>
    </x:xf>
    <x:xf numFmtId="203" fontId="8" fillId="4" borderId="0" xfId="0" applyNumberFormat="1" applyFont="1" applyFill="1" applyBorder="1" applyAlignment="1">
      <x:alignment vertical="center"/>
    </x:xf>
    <x:xf numFmtId="204" fontId="5" fillId="2" borderId="0" xfId="0" applyNumberFormat="1" applyFont="1" applyFill="1" applyBorder="1" applyAlignment="1">
      <x:alignment vertical="center"/>
    </x:xf>
    <x:xf numFmtId="205" fontId="5" fillId="2" borderId="0" xfId="0" applyNumberFormat="1" applyFont="1" applyFill="1" applyBorder="1" applyAlignment="1">
      <x:alignment vertical="center"/>
    </x:xf>
    <x:xf numFmtId="0" fontId="8" fillId="4" borderId="3" xfId="0" applyNumberFormat="1" applyFont="1" applyFill="1" applyBorder="1" applyAlignment="1">
      <x:alignment vertical="center"/>
    </x:xf>
    <x:xf numFmtId="201" fontId="8" fillId="4" borderId="3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5" fontId="8" fillId="4" borderId="3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5" fontId="8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205" fontId="4" fillId="4" borderId="3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3" fontId="10" fillId="0" borderId="0" xfId="0" applyNumberFormat="1" applyFont="1" applyFill="1" applyBorder="1" applyAlignment="1">
      <x:alignment vertical="center"/>
    </x:xf>
    <x:xf numFmtId="203" fontId="9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horizontal="center" vertical="center"/>
    </x:xf>
    <x:xf numFmtId="204" fontId="8" fillId="3" borderId="0" xfId="0" applyNumberFormat="1" applyFont="1" applyFill="1" applyBorder="1" applyAlignment="1">
      <x:alignment horizontal="center" vertical="center"/>
    </x:xf>
    <x:xf numFmtId="204" fontId="7" fillId="3" borderId="0" xfId="0" applyNumberFormat="1" applyFont="1" applyFill="1" applyBorder="1" applyAlignment="1">
      <x:alignment horizontal="center" vertical="center"/>
    </x:xf>
    <x:xf numFmtId="206" fontId="1" fillId="0" borderId="0" xfId="0" applyNumberFormat="1" applyFont="1" applyFill="1" applyBorder="1" applyAlignment="1">
      <x:alignment vertical="center"/>
    </x:xf>
    <x:xf numFmtId="206" fontId="1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8" fillId="4" borderId="3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8" fillId="5" borderId="3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5" fontId="8" fillId="5" borderId="3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33B32"/>
      </x:font>
    </x:dxf>
    <x:dxf>
      <x:font>
        <x:b/>
        <x:color rgb="FFA33B32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73d58cbf64ea5" /><Relationship Type="http://schemas.openxmlformats.org/officeDocument/2006/relationships/theme" Target="/xl/theme/theme1.xml" Id="R48fc7e37f4a84fac" /><Relationship Type="http://schemas.openxmlformats.org/officeDocument/2006/relationships/sharedStrings" Target="/xl/sharedStrings.xml" Id="R8b899713cf654afb" /><Relationship Type="http://schemas.openxmlformats.org/officeDocument/2006/relationships/worksheet" Target="/xl/worksheets/sheet1.xml" Id="R56ae3cbec190487e" /><Relationship Type="http://schemas.openxmlformats.org/officeDocument/2006/relationships/worksheet" Target="/xl/worksheets/sheet2.xml" Id="R04f9646b34014e6f" /><Relationship Type="http://schemas.openxmlformats.org/officeDocument/2006/relationships/worksheet" Target="/xl/worksheets/sheet3.xml" Id="R29b02a87588b4f47" /><Relationship Type="http://schemas.openxmlformats.org/officeDocument/2006/relationships/worksheet" Target="/xl/worksheets/sheet4.xml" Id="R0793d6bcde9e4f6a" /><Relationship Type="http://schemas.openxmlformats.org/officeDocument/2006/relationships/worksheet" Target="/xl/worksheets/sheet5.xml" Id="Rda843ff2dac343c3" /><Relationship Type="http://schemas.openxmlformats.org/officeDocument/2006/relationships/worksheet" Target="/xl/worksheets/sheet6.xml" Id="R95acf274b7c24d6e" /><Relationship Type="http://schemas.openxmlformats.org/officeDocument/2006/relationships/worksheet" Target="/xl/worksheets/sheet7.xml" Id="R048d7da1def041f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9f8fe9e8edc403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Cash before financing and reserves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Cash before funding</c:v>
          </c:tx>
          <c:spPr>
            <a:ln xmlns:a="http://schemas.openxmlformats.org/drawingml/2006/main" w="19050">
              <a:solidFill>
                <a:srgbClr val="376D91"/>
              </a:solidFill>
              <a:prstDash val="solid"/>
            </a:ln>
          </c:spPr>
          <c:marker>
            <c:symbol val="none"/>
          </c:marker>
          <c:cat>
            <c:strRef>
              <c:f>'Summary'!$C$32:$C$55</c:f>
              <c:strCache>
                <c:ptCount val="0"/>
              </c:strCache>
            </c:strRef>
          </c:cat>
          <c:val>
            <c:numRef>
              <c:f>'Summary'!$D$32:$D$55</c:f>
              <c:numCache>
                <c:formatCode>$#,##0;($#,##0);"–"</c:formatCode>
                <c:ptCount val="0"/>
              </c:numCache>
            </c:numRef>
          </c:val>
          <c:smooth val="0"/>
        </c:ser>
        <c:ser>
          <c:idx val="1"/>
          <c:order val="1"/>
          <c:tx>
            <c:v>After all reserves</c:v>
          </c:tx>
          <c:spPr>
            <a:ln xmlns:a="http://schemas.openxmlformats.org/drawingml/2006/main" w="19050">
              <a:solidFill>
                <a:srgbClr val="D56B45"/>
              </a:solidFill>
              <a:prstDash val="solid"/>
            </a:ln>
          </c:spPr>
          <c:marker>
            <c:symbol val="none"/>
          </c:marker>
          <c:cat>
            <c:strRef>
              <c:f>'Summary'!$C$32:$C$55</c:f>
              <c:strCache>
                <c:ptCount val="0"/>
              </c:strCache>
            </c:strRef>
          </c:cat>
          <c:val>
            <c:numRef>
              <c:f>'Summary'!$E$32:$E$55</c:f>
              <c:numCache>
                <c:formatCode>$#,##0;($#,##0);"–"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,&quot;k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21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9f8fe9e8edc403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767d8943efd449f" /></Relationships>
</file>

<file path=xl/worksheets/sheet1.xml><?xml version="1.0" encoding="utf-8"?>
<x:worksheet xmlns:x="http://schemas.openxmlformats.org/spreadsheetml/2006/main">
  <x:sheetPr>
    <x:tabColor rgb="FF142E43"/>
  </x:sheetPr>
  <x:sheetViews>
    <x:sheetView showGridLines="0" workbookViewId="0"/>
  </x:sheetViews>
  <x:sheetFormatPr defaultRowHeight="15"/>
  <x:cols>
    <x:col min="1" max="1" width="2.200000047683716" hidden="0" customWidth="1"/>
    <x:col min="2" max="2" width="2.200000047683716" hidden="0" customWidth="1"/>
    <x:col min="3" max="3" width="46" hidden="0" customWidth="1"/>
    <x:col min="4" max="4" width="22" hidden="0" customWidth="1"/>
    <x:col min="5" max="5" width="2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29" customHeight="1">
      <x:c r="A2" s="2"/>
      <x:c r="B2" s="2"/>
      <x:c r="C2" s="3" t="str">
        <x:v>HOYDICH PLAY / SIGNALSAURS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 ht="21" customHeight="1">
      <x:c r="A4" s="2"/>
      <x:c r="B4" s="2"/>
      <x:c r="C4" s="2" t="str">
        <x:v>Case selected:</x:v>
      </x:c>
      <x:c r="D4" s="2"/>
      <x:c r="E4" s="8" t="str">
        <x:f>'Assumptions'!$G$4</x:f>
        <x:v>Base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1" customHeight="1">
      <x:c r="A6" s="2"/>
      <x:c r="B6" s="2"/>
      <x:c r="C6" s="2" t="str">
        <x:v>Original 2-axis robot dinosaur. Families 8–12 and adult collectors. Forecast prepared 17-Oct-2026.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25" customHeight="1">
      <x:c r="A7" s="2"/>
      <x:c r="B7" s="2"/>
      <x:c r="C7" s="16" t="str">
        <x:v>Selected forecast</x:v>
      </x:c>
      <x:c r="D7" s="16" t="str"/>
      <x:c r="E7" s="16" t="str">
        <x:v>USD / units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</x:row>
    <x:row r="8" ht="21" customHeight="1">
      <x:c r="A8" s="2"/>
      <x:c r="B8" s="2"/>
      <x:c r="C8" s="2" t="str">
        <x:v>Retail price</x:v>
      </x:c>
      <x:c r="D8" s="2"/>
      <x:c r="E8" s="30" t="n">
        <x:f>'Assumptions'!E10</x:f>
        <x:v>199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</x:row>
    <x:row r="9" ht="21" customHeight="1">
      <x:c r="A9" s="2"/>
      <x:c r="B9" s="2"/>
      <x:c r="C9" s="2" t="str">
        <x:v>Landed warehouse cost / unit</x:v>
      </x:c>
      <x:c r="D9" s="2"/>
      <x:c r="E9" s="30" t="n">
        <x:f>'BOM'!E36</x:f>
        <x:v>48.998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</x:row>
    <x:row r="10" ht="21" customHeight="1">
      <x:c r="A10" s="2"/>
      <x:c r="B10" s="2"/>
      <x:c r="C10" s="2" t="str">
        <x:v>DTC contribution / unit</x:v>
      </x:c>
      <x:c r="D10" s="2"/>
      <x:c r="E10" s="30" t="n">
        <x:f>'Unit economics'!E26</x:f>
        <x:v>62.56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1" customHeight="1">
      <x:c r="A11" s="2"/>
      <x:c r="B11" s="2"/>
      <x:c r="C11" s="2" t="str">
        <x:v>Wholesale contribution / unit</x:v>
      </x:c>
      <x:c r="D11" s="2"/>
      <x:c r="E11" s="30" t="n">
        <x:f>'Unit economics'!G26</x:f>
        <x:v>33.077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8" t="str">
        <x:v>Blended contribution / unit</x:v>
      </x:c>
      <x:c r="D12" s="28"/>
      <x:c r="E12" s="29" t="n">
        <x:f>'Unit economics'!E30</x:f>
        <x:v>53.71510000000001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1" customHeight="1">
      <x:c r="A13" s="2"/>
      <x:c r="B13" s="2"/>
      <x:c r="C13" s="2" t="str">
        <x:v>One-time budget incl. contingency</x:v>
      </x:c>
      <x:c r="D13" s="2"/>
      <x:c r="E13" s="34" t="n">
        <x:f>'Investment'!E14</x:f>
        <x:v>570000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1" customHeight="1">
      <x:c r="A14" s="2"/>
      <x:c r="B14" s="2"/>
      <x:c r="C14" s="2" t="str">
        <x:v>Landed initial inventory cash</x:v>
      </x:c>
      <x:c r="D14" s="2"/>
      <x:c r="E14" s="34" t="n">
        <x:f>SUM('Cash forecast'!D33:D35)</x:f>
        <x:v>244989.99999999994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1" customHeight="1">
      <x:c r="A15" s="2"/>
      <x:c r="B15" s="2"/>
      <x:c r="C15" s="2" t="str">
        <x:v>Units shipped within forecast</x:v>
      </x:c>
      <x:c r="D15" s="2"/>
      <x:c r="E15" s="50" t="n">
        <x:f>'Cash forecast'!D11</x:f>
        <x:v>4165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21" customHeight="1">
      <x:c r="A16" s="2"/>
      <x:c r="B16" s="2"/>
      <x:c r="C16" s="2" t="str">
        <x:v>Contribution within forecast</x:v>
      </x:c>
      <x:c r="D16" s="2"/>
      <x:c r="E16" s="34" t="n">
        <x:f>'Cash forecast'!D23</x:f>
        <x:v>223679.16699999996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</x:row>
    <x:row r="17" ht="21" customHeight="1">
      <x:c r="A17" s="2"/>
      <x:c r="B17" s="2"/>
      <x:c r="C17" s="2" t="str">
        <x:v>Units to recover one-time program</x:v>
      </x:c>
      <x:c r="D17" s="2"/>
      <x:c r="E17" s="50" t="n">
        <x:f>'Unit economics'!E31</x:f>
        <x:v>10612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</x:row>
    <x:row r="18" ht="24" customHeight="1">
      <x:c r="A18" s="2"/>
      <x:c r="B18" s="2"/>
      <x:c r="C18" s="28" t="str">
        <x:v>Peak need incl. reserves and cushions</x:v>
      </x:c>
      <x:c r="D18" s="28"/>
      <x:c r="E18" s="33" t="n">
        <x:f>'Cash forecast'!AB48</x:f>
        <x:v>1269780.882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</x:row>
    <x:row r="19" ht="24" customHeight="1">
      <x:c r="A19" s="2"/>
      <x:c r="B19" s="2"/>
      <x:c r="C19" s="28" t="str">
        <x:v>Funding target with liquidity buffer</x:v>
      </x:c>
      <x:c r="D19" s="28"/>
      <x:c r="E19" s="33" t="n">
        <x:f>E18*(1+'Assumptions'!E87)</x:f>
        <x:v>1396758.9702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</x:row>
    <x:row r="20" ht="21" customHeight="1">
      <x:c r="A20" s="2"/>
      <x:c r="B20" s="2"/>
      <x:c r="C20" s="2" t="str">
        <x:v>Finished stock remaining at M24</x:v>
      </x:c>
      <x:c r="D20" s="2"/>
      <x:c r="E20" s="50" t="n">
        <x:f>'Cash forecast'!AB14</x:f>
        <x:v>835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</x:row>
    <x:row r="21" ht="21" customHeight="1">
      <x:c r="A21" s="2"/>
      <x:c r="B21" s="2"/>
      <x:c r="C21" s="2" t="str">
        <x:v>Service / closure reserve at M24</x:v>
      </x:c>
      <x:c r="D21" s="2"/>
      <x:c r="E21" s="34" t="n">
        <x:f>SUM('Cash forecast'!AB44:AB45)</x:f>
        <x:v>260000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</x:row>
    <x:row r="22" ht="24" customHeight="1">
      <x:c r="A22" s="2"/>
      <x:c r="B22" s="2"/>
      <x:c r="C22" s="28" t="str">
        <x:v>24-month program surplus / (deficit)</x:v>
      </x:c>
      <x:c r="D22" s="28"/>
      <x:c r="E22" s="33" t="n">
        <x:f>'Cash forecast'!D27</x:f>
        <x:v>-508320.83299999963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</x:row>
    <x:row r="25" ht="21" customHeight="1">
      <x:c r="A25" s="2"/>
      <x:c r="B25" s="2"/>
      <x:c r="C25" s="13" t="str">
        <x:v>First-run sales do not recover development and operating costs. Keep the discovery gate small.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</x:row>
    <x:row r="26" ht="21" customHeight="1">
      <x:c r="A26" s="2"/>
      <x:c r="B26" s="2"/>
      <x:c r="C26" s="13" t="str">
        <x:v>AI usage allowance and fixed five-year security/service funding are separate. Offline core play remains usable.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</x:row>
    <x:row r="27" ht="21" customHeight="1">
      <x:c r="A27" s="2"/>
      <x:c r="B27" s="2"/>
      <x:c r="C27" s="13" t="str">
        <x:v>Contingency, inventory cushions and service reserves reduce available cash. They are not extra expenses.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1" customHeight="1">
      <x:c r="A28" s="2"/>
      <x:c r="B28" s="2"/>
      <x:c r="C28" s="13" t="str">
        <x:v>Change the single Case selector in Assumptions. No demand, quote, tariff classification or legal clearance is established.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1" customHeight="1">
      <x:c r="A31" s="2"/>
      <x:c r="B31" s="2"/>
      <x:c r="C31" s="16" t="str">
        <x:v>Forecast month</x:v>
      </x:c>
      <x:c r="D31" s="16" t="str">
        <x:v>Cash before funding</x:v>
      </x:c>
      <x:c r="E31" s="16" t="str">
        <x:v>After all reserves</x:v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1" customHeight="1">
      <x:c r="A32" s="2"/>
      <x:c r="B32" s="2"/>
      <x:c r="C32" s="5" t="str">
        <x:f>TEXT('Cash forecast'!E6,"mmm-yy")</x:f>
        <x:v>Nov-26</x:v>
      </x:c>
      <x:c r="D32" s="34" t="n">
        <x:f>'Cash forecast'!E42</x:f>
        <x:v>-31750</x:v>
      </x:c>
      <x:c r="E32" s="34" t="n">
        <x:f>'Cash forecast'!E47</x:f>
        <x:v>-175748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  <x:row r="33" ht="21" customHeight="1">
      <x:c r="A33" s="2"/>
      <x:c r="B33" s="2"/>
      <x:c r="C33" s="5" t="str">
        <x:f>TEXT('Cash forecast'!F6,"mmm-yy")</x:f>
        <x:v>Dec-26</x:v>
      </x:c>
      <x:c r="D33" s="34" t="n">
        <x:f>'Cash forecast'!F42</x:f>
        <x:v>-68250</x:v>
      </x:c>
      <x:c r="E33" s="34" t="n">
        <x:f>'Cash forecast'!F47</x:f>
        <x:v>-212248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</x:row>
    <x:row r="34" ht="21" customHeight="1">
      <x:c r="A34" s="2"/>
      <x:c r="B34" s="2"/>
      <x:c r="C34" s="5" t="str">
        <x:f>TEXT('Cash forecast'!G6,"mmm-yy")</x:f>
        <x:v>Jan-27</x:v>
      </x:c>
      <x:c r="D34" s="34" t="n">
        <x:f>'Cash forecast'!G42</x:f>
        <x:v>-114250</x:v>
      </x:c>
      <x:c r="E34" s="34" t="n">
        <x:f>'Cash forecast'!G47</x:f>
        <x:v>-258248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</x:row>
    <x:row r="35" ht="21" customHeight="1">
      <x:c r="A35" s="2"/>
      <x:c r="B35" s="2"/>
      <x:c r="C35" s="5" t="str">
        <x:f>TEXT('Cash forecast'!H6,"mmm-yy")</x:f>
        <x:v>Feb-27</x:v>
      </x:c>
      <x:c r="D35" s="34" t="n">
        <x:f>'Cash forecast'!H42</x:f>
        <x:v>-165000</x:v>
      </x:c>
      <x:c r="E35" s="34" t="n">
        <x:f>'Cash forecast'!H47</x:f>
        <x:v>-308998</x:v>
      </x:c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</x:row>
    <x:row r="36" ht="21" customHeight="1">
      <x:c r="A36" s="2"/>
      <x:c r="B36" s="2"/>
      <x:c r="C36" s="5" t="str">
        <x:f>TEXT('Cash forecast'!I6,"mmm-yy")</x:f>
        <x:v>Mar-27</x:v>
      </x:c>
      <x:c r="D36" s="34" t="n">
        <x:f>'Cash forecast'!I42</x:f>
        <x:v>-220500</x:v>
      </x:c>
      <x:c r="E36" s="34" t="n">
        <x:f>'Cash forecast'!I47</x:f>
        <x:v>-364498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</x:row>
    <x:row r="37" ht="21" customHeight="1">
      <x:c r="A37" s="2"/>
      <x:c r="B37" s="2"/>
      <x:c r="C37" s="5" t="str">
        <x:f>TEXT('Cash forecast'!J6,"mmm-yy")</x:f>
        <x:v>Apr-27</x:v>
      </x:c>
      <x:c r="D37" s="34" t="n">
        <x:f>'Cash forecast'!J42</x:f>
        <x:v>-276000</x:v>
      </x:c>
      <x:c r="E37" s="34" t="n">
        <x:f>'Cash forecast'!J47</x:f>
        <x:v>-419998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</x:row>
    <x:row r="38" ht="21" customHeight="1">
      <x:c r="A38" s="2"/>
      <x:c r="B38" s="2"/>
      <x:c r="C38" s="5" t="str">
        <x:f>TEXT('Cash forecast'!K6,"mmm-yy")</x:f>
        <x:v>May-27</x:v>
      </x:c>
      <x:c r="D38" s="34" t="n">
        <x:f>'Cash forecast'!K42</x:f>
        <x:v>-331500</x:v>
      </x:c>
      <x:c r="E38" s="34" t="n">
        <x:f>'Cash forecast'!K47</x:f>
        <x:v>-475498</x:v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</x:row>
    <x:row r="39" ht="21" customHeight="1">
      <x:c r="A39" s="2"/>
      <x:c r="B39" s="2"/>
      <x:c r="C39" s="5" t="str">
        <x:f>TEXT('Cash forecast'!L6,"mmm-yy")</x:f>
        <x:v>Jun-27</x:v>
      </x:c>
      <x:c r="D39" s="34" t="n">
        <x:f>'Cash forecast'!L42</x:f>
        <x:v>-441887</x:v>
      </x:c>
      <x:c r="E39" s="34" t="n">
        <x:f>'Cash forecast'!L47</x:f>
        <x:v>-585885</x:v>
      </x:c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</x:row>
    <x:row r="40" ht="21" customHeight="1">
      <x:c r="A40" s="2"/>
      <x:c r="B40" s="2"/>
      <x:c r="C40" s="5" t="str">
        <x:f>TEXT('Cash forecast'!M6,"mmm-yy")</x:f>
        <x:v>Jul-27</x:v>
      </x:c>
      <x:c r="D40" s="34" t="n">
        <x:f>'Cash forecast'!M42</x:f>
        <x:v>-487887</x:v>
      </x:c>
      <x:c r="E40" s="34" t="n">
        <x:f>'Cash forecast'!M47</x:f>
        <x:v>-631885</x:v>
      </x:c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</x:row>
    <x:row r="41" ht="21" customHeight="1">
      <x:c r="A41" s="2"/>
      <x:c r="B41" s="2"/>
      <x:c r="C41" s="5" t="str">
        <x:f>TEXT('Cash forecast'!N6,"mmm-yy")</x:f>
        <x:v>Aug-27</x:v>
      </x:c>
      <x:c r="D41" s="34" t="n">
        <x:f>'Cash forecast'!N42</x:f>
        <x:v>-668290</x:v>
      </x:c>
      <x:c r="E41" s="34" t="n">
        <x:f>'Cash forecast'!N47</x:f>
        <x:v>-812288</x:v>
      </x:c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</x:row>
    <x:row r="42" ht="21" customHeight="1">
      <x:c r="A42" s="2"/>
      <x:c r="B42" s="2"/>
      <x:c r="C42" s="5" t="str">
        <x:f>TEXT('Cash forecast'!O6,"mmm-yy")</x:f>
        <x:v>Sep-27</x:v>
      </x:c>
      <x:c r="D42" s="34" t="n">
        <x:f>'Cash forecast'!O42</x:f>
        <x:v>-769990</x:v>
      </x:c>
      <x:c r="E42" s="34" t="n">
        <x:f>'Cash forecast'!O47</x:f>
        <x:v>-913988</x:v>
      </x:c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</x:row>
    <x:row r="43" ht="21" customHeight="1">
      <x:c r="A43" s="2"/>
      <x:c r="B43" s="2"/>
      <x:c r="C43" s="5" t="str">
        <x:f>TEXT('Cash forecast'!P6,"mmm-yy")</x:f>
        <x:v>Oct-27</x:v>
      </x:c>
      <x:c r="D43" s="34" t="n">
        <x:f>'Cash forecast'!P42</x:f>
        <x:v>-805782.882</x:v>
      </x:c>
      <x:c r="E43" s="34" t="n">
        <x:f>'Cash forecast'!P47</x:f>
        <x:v>-1269780.882</x:v>
      </x:c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</x:row>
    <x:row r="44" ht="21" customHeight="1">
      <x:c r="A44" s="2"/>
      <x:c r="B44" s="2"/>
      <x:c r="C44" s="5" t="str">
        <x:f>TEXT('Cash forecast'!Q6,"mmm-yy")</x:f>
        <x:v>Nov-27</x:v>
      </x:c>
      <x:c r="D44" s="34" t="n">
        <x:f>'Cash forecast'!Q42</x:f>
        <x:v>-791389.45</x:v>
      </x:c>
      <x:c r="E44" s="34" t="n">
        <x:f>'Cash forecast'!Q47</x:f>
        <x:v>-1250387.45</x:v>
      </x:c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</x:row>
    <x:row r="45" ht="21" customHeight="1">
      <x:c r="A45" s="2"/>
      <x:c r="B45" s="2"/>
      <x:c r="C45" s="5" t="str">
        <x:f>TEXT('Cash forecast'!R6,"mmm-yy")</x:f>
        <x:v>Dec-27</x:v>
      </x:c>
      <x:c r="D45" s="34" t="n">
        <x:f>'Cash forecast'!R42</x:f>
        <x:v>-771382.936</x:v>
      </x:c>
      <x:c r="E45" s="34" t="n">
        <x:f>'Cash forecast'!R47</x:f>
        <x:v>-1225380.936</x:v>
      </x:c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</x:row>
    <x:row r="46" ht="21" customHeight="1">
      <x:c r="A46" s="2"/>
      <x:c r="B46" s="2"/>
      <x:c r="C46" s="5" t="str">
        <x:f>TEXT('Cash forecast'!S6,"mmm-yy")</x:f>
        <x:v>Jan-28</x:v>
      </x:c>
      <x:c r="D46" s="34" t="n">
        <x:f>'Cash forecast'!S42</x:f>
        <x:v>-750182.422</x:v>
      </x:c>
      <x:c r="E46" s="34" t="n">
        <x:f>'Cash forecast'!S47</x:f>
        <x:v>-1199180.422</x:v>
      </x:c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</x:row>
    <x:row r="47" ht="21" customHeight="1">
      <x:c r="A47" s="2"/>
      <x:c r="B47" s="2"/>
      <x:c r="C47" s="5" t="str">
        <x:f>TEXT('Cash forecast'!T6,"mmm-yy")</x:f>
        <x:v>Feb-28</x:v>
      </x:c>
      <x:c r="D47" s="34" t="n">
        <x:f>'Cash forecast'!T42</x:f>
        <x:v>-728981.908</x:v>
      </x:c>
      <x:c r="E47" s="34" t="n">
        <x:f>'Cash forecast'!T47</x:f>
        <x:v>-1172979.908</x:v>
      </x:c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</x:row>
    <x:row r="48" ht="21" customHeight="1">
      <x:c r="A48" s="2"/>
      <x:c r="B48" s="2"/>
      <x:c r="C48" s="5" t="str">
        <x:f>TEXT('Cash forecast'!U6,"mmm-yy")</x:f>
        <x:v>Mar-28</x:v>
      </x:c>
      <x:c r="D48" s="34" t="n">
        <x:f>'Cash forecast'!U42</x:f>
        <x:v>-707781.3940000001</x:v>
      </x:c>
      <x:c r="E48" s="34" t="n">
        <x:f>'Cash forecast'!U47</x:f>
        <x:v>-1146779.394</x:v>
      </x:c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</x:row>
    <x:row r="49" ht="21" customHeight="1">
      <x:c r="A49" s="2"/>
      <x:c r="B49" s="2"/>
      <x:c r="C49" s="5" t="str">
        <x:f>TEXT('Cash forecast'!V6,"mmm-yy")</x:f>
        <x:v>Apr-28</x:v>
      </x:c>
      <x:c r="D49" s="34" t="n">
        <x:f>'Cash forecast'!V42</x:f>
        <x:v>-686580.8800000001</x:v>
      </x:c>
      <x:c r="E49" s="34" t="n">
        <x:f>'Cash forecast'!V47</x:f>
        <x:v>-1120578.8800000001</x:v>
      </x:c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</x:row>
    <x:row r="50" ht="21" customHeight="1">
      <x:c r="A50" s="2"/>
      <x:c r="B50" s="2"/>
      <x:c r="C50" s="5" t="str">
        <x:f>TEXT('Cash forecast'!W6,"mmm-yy")</x:f>
        <x:v>May-28</x:v>
      </x:c>
      <x:c r="D50" s="34" t="n">
        <x:f>'Cash forecast'!W42</x:f>
        <x:v>-665380.3660000002</x:v>
      </x:c>
      <x:c r="E50" s="34" t="n">
        <x:f>'Cash forecast'!W47</x:f>
        <x:v>-1094378.3660000002</x:v>
      </x:c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</x:row>
    <x:row r="51" ht="21" customHeight="1">
      <x:c r="A51" s="2"/>
      <x:c r="B51" s="2"/>
      <x:c r="C51" s="5" t="str">
        <x:f>TEXT('Cash forecast'!X6,"mmm-yy")</x:f>
        <x:v>Jun-28</x:v>
      </x:c>
      <x:c r="D51" s="34" t="n">
        <x:f>'Cash forecast'!X42</x:f>
        <x:v>-644179.8520000002</x:v>
      </x:c>
      <x:c r="E51" s="34" t="n">
        <x:f>'Cash forecast'!X47</x:f>
        <x:v>-1068177.8520000002</x:v>
      </x:c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</x:row>
    <x:row r="52" ht="21" customHeight="1">
      <x:c r="A52" s="2"/>
      <x:c r="B52" s="2"/>
      <x:c r="C52" s="5" t="str">
        <x:f>TEXT('Cash forecast'!Y6,"mmm-yy")</x:f>
        <x:v>Jul-28</x:v>
      </x:c>
      <x:c r="D52" s="34" t="n">
        <x:f>'Cash forecast'!Y42</x:f>
        <x:v>-622979.3380000002</x:v>
      </x:c>
      <x:c r="E52" s="34" t="n">
        <x:f>'Cash forecast'!Y47</x:f>
        <x:v>-1041977.3380000002</x:v>
      </x:c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</x:row>
    <x:row r="53" ht="21" customHeight="1">
      <x:c r="A53" s="2"/>
      <x:c r="B53" s="2"/>
      <x:c r="C53" s="5" t="str">
        <x:f>TEXT('Cash forecast'!Z6,"mmm-yy")</x:f>
        <x:v>Aug-28</x:v>
      </x:c>
      <x:c r="D53" s="34" t="n">
        <x:f>'Cash forecast'!Z42</x:f>
        <x:v>-601778.8240000003</x:v>
      </x:c>
      <x:c r="E53" s="34" t="n">
        <x:f>'Cash forecast'!Z47</x:f>
        <x:v>-1015776.8240000003</x:v>
      </x:c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</x:row>
    <x:row r="54" ht="21" customHeight="1">
      <x:c r="A54" s="2"/>
      <x:c r="B54" s="2"/>
      <x:c r="C54" s="5" t="str">
        <x:f>TEXT('Cash forecast'!AA6,"mmm-yy")</x:f>
        <x:v>Sep-28</x:v>
      </x:c>
      <x:c r="D54" s="34" t="n">
        <x:f>'Cash forecast'!AA42</x:f>
        <x:v>-580578.3100000003</x:v>
      </x:c>
      <x:c r="E54" s="34" t="n">
        <x:f>'Cash forecast'!AA47</x:f>
        <x:v>-989576.3100000003</x:v>
      </x:c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</x:row>
    <x:row r="55" ht="21" customHeight="1">
      <x:c r="A55" s="2"/>
      <x:c r="B55" s="2"/>
      <x:c r="C55" s="5" t="str">
        <x:f>TEXT('Cash forecast'!AB6,"mmm-yy")</x:f>
        <x:v>Oct-28</x:v>
      </x:c>
      <x:c r="D55" s="34" t="n">
        <x:f>'Cash forecast'!AB42</x:f>
        <x:v>-559283.6630000003</x:v>
      </x:c>
      <x:c r="E55" s="34" t="n">
        <x:f>'Cash forecast'!AB47</x:f>
        <x:v>-963281.6630000003</x:v>
      </x:c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</x:row>
    <x:row r="58" ht="21" customHeight="1">
      <x:c r="A58" s="2"/>
      <x:c r="B58" s="2"/>
      <x:c r="C58" s="2" t="str">
        <x:v>Simple capital illustration</x:v>
      </x:c>
      <x:c r="D58" s="2"/>
      <x:c r="E58" s="32" t="n">
        <x:f>'Investment'!E14+'BOM'!E36*'Assumptions'!E15*(1+'Assumptions'!E89)+'Assumptions'!E95</x:f>
        <x:v>1013988</x:v>
      </x:c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</x:row>
    <x:row r="59" ht="21" customHeight="1">
      <x:c r="A59" s="2"/>
      <x:c r="B59" s="2"/>
      <x:c r="C59" s="13" t="str">
        <x:v>570k program incl. contingency + 245k inventory + 49k inventory cushion + 150k extra runway.</x:v>
      </x:c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</x:row>
    <x:row r="60" ht="21" customHeight="1">
      <x:c r="A60" s="2"/>
      <x:c r="B60" s="2"/>
      <x:c r="C60" s="13" t="str">
        <x:v>The monthly peak also funds full service/closure reserves and explicit collection and sales timing.</x:v>
      </x:c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</x:row>
  </x:sheetData>
  <x:pageMargins left="0.7" right="0.7" top="0.75" bottom="0.75" header="0.3" footer="0.3"/>
  <x:drawing xmlns:r="http://schemas.openxmlformats.org/officeDocument/2006/relationships" r:id="Rb767d8943efd449f"/>
</x:worksheet>
</file>

<file path=xl/worksheets/sheet2.xml><?xml version="1.0" encoding="utf-8"?>
<x:worksheet xmlns:x="http://schemas.openxmlformats.org/spreadsheetml/2006/main">
  <x:sheetPr>
    <x:tabColor rgb="FF47708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48" hidden="0" customWidth="1"/>
    <x:col min="4" max="4" width="3" hidden="0" customWidth="1"/>
    <x:col min="5" max="5" width="18" hidden="0" customWidth="1"/>
    <x:col min="6" max="6" width="18" hidden="0" customWidth="1"/>
    <x:col min="7" max="7" width="14" hidden="0" customWidth="1"/>
    <x:col min="8" max="8" width="95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9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</x:row>
    <x:row r="4" ht="21" customHeight="1">
      <x:c r="A4" s="2"/>
      <x:c r="B4" s="2"/>
      <x:c r="C4" s="2" t="str">
        <x:v>Case selector (1 / 2 / 3)</x:v>
      </x:c>
      <x:c r="D4" s="2"/>
      <x:c r="E4" s="11" t="n">
        <x:v>1</x:v>
      </x:c>
      <x:c r="F4" s="2"/>
      <x:c r="G4" s="5" t="str">
        <x:f>CHOOSE(E4,"Base","Downside","Upside")</x:f>
        <x:v>Base</x:v>
      </x:c>
      <x:c r="H4" s="13" t="str">
        <x:v>1 Base. 2 Downside. 3 Upside. Illustrative assumption bundles.</x:v>
      </x:c>
      <x:c r="I4" s="2"/>
      <x:c r="J4" s="2"/>
      <x:c r="K4" s="2"/>
      <x:c r="L4" s="2"/>
      <x:c r="M4" s="2"/>
      <x:c r="N4" s="2"/>
      <x:c r="O4" s="2"/>
      <x:c r="P4" s="2"/>
      <x:c r="Q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1" customHeight="1">
      <x:c r="A6" s="2"/>
      <x:c r="B6" s="2"/>
      <x:c r="C6" s="2" t="str">
        <x:v>Blue numbers on amber are editable. Green values link across sheets.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1" customHeight="1">
      <x:c r="A7" s="2"/>
      <x:c r="B7" s="2"/>
      <x:c r="C7" s="2" t="str">
        <x:v>Planning assumptions. Demand, supplier pricing and launch date are unproven.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5" customHeight="1">
      <x:c r="A8" s="2"/>
      <x:c r="B8" s="2"/>
      <x:c r="C8" s="16" t="str">
        <x:v>Driver / case</x:v>
      </x:c>
      <x:c r="D8" s="16" t="str"/>
      <x:c r="E8" s="16" t="str">
        <x:v>Value</x:v>
      </x:c>
      <x:c r="F8" s="16" t="str">
        <x:v>Units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1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1" customHeight="1">
      <x:c r="A10" s="2"/>
      <x:c r="B10" s="2"/>
      <x:c r="C10" s="18" t="str">
        <x:v>Retail price / active</x:v>
      </x:c>
      <x:c r="D10" s="18"/>
      <x:c r="E10" s="20" t="n">
        <x:f>IF(CHOOSE($E$4,ISNUMBER(E11),ISNUMBER(E12),ISNUMBER(E13)),CHOOSE($E$4,E11,E12,E13),NA())</x:f>
        <x:v>199</x:v>
      </x:c>
      <x:c r="F10" s="18" t="str">
        <x:v>USD</x:v>
      </x:c>
      <x:c r="G10" s="2"/>
      <x:c r="H10" s="13" t="str">
        <x:v>Price tests. No willingness-to-pay evidence.</x:v>
      </x:c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1" customHeight="1">
      <x:c r="A11" s="2"/>
      <x:c r="B11" s="2"/>
      <x:c r="C11" s="2" t="str">
        <x:v>Base</x:v>
      </x:c>
      <x:c r="D11" s="2"/>
      <x:c r="E11" s="19" t="n">
        <x:v>199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1" customHeight="1">
      <x:c r="A12" s="2"/>
      <x:c r="B12" s="2"/>
      <x:c r="C12" s="2" t="str">
        <x:v>Downside</x:v>
      </x:c>
      <x:c r="D12" s="2"/>
      <x:c r="E12" s="19" t="n">
        <x:v>149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1" customHeight="1">
      <x:c r="A13" s="2"/>
      <x:c r="B13" s="2"/>
      <x:c r="C13" s="2" t="str">
        <x:v>Upside</x:v>
      </x:c>
      <x:c r="D13" s="2"/>
      <x:c r="E13" s="19" t="n">
        <x:v>249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1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1" customHeight="1">
      <x:c r="A15" s="2"/>
      <x:c r="B15" s="2"/>
      <x:c r="C15" s="18" t="str">
        <x:v>Production quantity / active</x:v>
      </x:c>
      <x:c r="D15" s="18"/>
      <x:c r="E15" s="21" t="n">
        <x:f>IF(CHOOSE($E$4,ISNUMBER(E16),ISNUMBER(E17),ISNUMBER(E18)),CHOOSE($E$4,E16,E17,E18),NA())</x:f>
        <x:v>5000</x:v>
      </x:c>
      <x:c r="F15" s="18" t="str">
        <x:v>units</x:v>
      </x:c>
      <x:c r="G15" s="2"/>
      <x:c r="H15" s="13" t="str">
        <x:v>Choose 1000, 5000 or 20000. One build, no automatic reorder.</x:v>
      </x:c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1" customHeight="1">
      <x:c r="A16" s="2"/>
      <x:c r="B16" s="2"/>
      <x:c r="C16" s="2" t="str">
        <x:v>Base</x:v>
      </x:c>
      <x:c r="D16" s="2"/>
      <x:c r="E16" s="11" t="n">
        <x:v>5000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1" customHeight="1">
      <x:c r="A17" s="2"/>
      <x:c r="B17" s="2"/>
      <x:c r="C17" s="2" t="str">
        <x:v>Downside</x:v>
      </x:c>
      <x:c r="D17" s="2"/>
      <x:c r="E17" s="11" t="n">
        <x:v>5000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1" customHeight="1">
      <x:c r="A18" s="2"/>
      <x:c r="B18" s="2"/>
      <x:c r="C18" s="2" t="str">
        <x:v>Upside</x:v>
      </x:c>
      <x:c r="D18" s="2"/>
      <x:c r="E18" s="11" t="n">
        <x:v>5000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1" customHeight="1">
      <x:c r="A20" s="2"/>
      <x:c r="B20" s="2"/>
      <x:c r="C20" s="18" t="str">
        <x:v>Factory cost multiplier / active</x:v>
      </x:c>
      <x:c r="D20" s="18"/>
      <x:c r="E20" s="23" t="n">
        <x:f>IF(CHOOSE($E$4,ISNUMBER(E21),ISNUMBER(E22),ISNUMBER(E23)),CHOOSE($E$4,E21,E22,E23),NA())</x:f>
        <x:v>1</x:v>
      </x:c>
      <x:c r="F20" s="18" t="str">
        <x:v>x</x:v>
      </x:c>
      <x:c r="G20" s="2"/>
      <x:c r="H20" s="13" t="str">
        <x:v>Analyst range for yield, sourcing and redesign risk.</x:v>
      </x:c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1" customHeight="1">
      <x:c r="A21" s="2"/>
      <x:c r="B21" s="2"/>
      <x:c r="C21" s="2" t="str">
        <x:v>Base</x:v>
      </x:c>
      <x:c r="D21" s="2"/>
      <x:c r="E21" s="22" t="n">
        <x:v>1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1" customHeight="1">
      <x:c r="A22" s="2"/>
      <x:c r="B22" s="2"/>
      <x:c r="C22" s="2" t="str">
        <x:v>Downside</x:v>
      </x:c>
      <x:c r="D22" s="2"/>
      <x:c r="E22" s="22" t="n">
        <x:v>1.2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1" customHeight="1">
      <x:c r="A23" s="2"/>
      <x:c r="B23" s="2"/>
      <x:c r="C23" s="2" t="str">
        <x:v>Upside</x:v>
      </x:c>
      <x:c r="D23" s="2"/>
      <x:c r="E23" s="22" t="n">
        <x:v>0.9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1" customHeight="1">
      <x:c r="A25" s="2"/>
      <x:c r="B25" s="2"/>
      <x:c r="C25" s="18" t="str">
        <x:v>Duty / tariff placeholder / active</x:v>
      </x:c>
      <x:c r="D25" s="18"/>
      <x:c r="E25" s="25" t="n">
        <x:f>IF(CHOOSE($E$4,ISNUMBER(E26),ISNUMBER(E27),ISNUMBER(E28)),CHOOSE($E$4,E26,E27,E28),NA())</x:f>
        <x:v>0.15</x:v>
      </x:c>
      <x:c r="F25" s="18" t="str">
        <x:v>% EXW</x:v>
      </x:c>
      <x:c r="G25" s="2"/>
      <x:c r="H25" s="13" t="str">
        <x:v>Sensitivity only. Broker must confirm HTS, origin and effective date.</x:v>
      </x:c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1" customHeight="1">
      <x:c r="A26" s="2"/>
      <x:c r="B26" s="2"/>
      <x:c r="C26" s="2" t="str">
        <x:v>Base</x:v>
      </x:c>
      <x:c r="D26" s="2"/>
      <x:c r="E26" s="24" t="n">
        <x:v>0.15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1" customHeight="1">
      <x:c r="A27" s="2"/>
      <x:c r="B27" s="2"/>
      <x:c r="C27" s="2" t="str">
        <x:v>Downside</x:v>
      </x:c>
      <x:c r="D27" s="2"/>
      <x:c r="E27" s="24" t="n">
        <x:v>0.3</x:v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1" customHeight="1">
      <x:c r="A28" s="2"/>
      <x:c r="B28" s="2"/>
      <x:c r="C28" s="2" t="str">
        <x:v>Upside</x:v>
      </x:c>
      <x:c r="D28" s="2"/>
      <x:c r="E28" s="24" t="n">
        <x:v>0</x:v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1" customHeight="1">
      <x:c r="A30" s="2"/>
      <x:c r="B30" s="2"/>
      <x:c r="C30" s="18" t="str">
        <x:v>DTC discount / active</x:v>
      </x:c>
      <x:c r="D30" s="18"/>
      <x:c r="E30" s="25" t="n">
        <x:f>IF(CHOOSE($E$4,ISNUMBER(E31),ISNUMBER(E32),ISNUMBER(E33)),CHOOSE($E$4,E31,E32,E33),NA())</x:f>
        <x:v>0.1</x:v>
      </x:c>
      <x:c r="F30" s="18" t="str">
        <x:v>% MSRP</x:v>
      </x:c>
      <x:c r="G30" s="2"/>
      <x:c r="H30" s="13" t="str">
        <x:v>Planning assumption. Excludes sales taxes.</x:v>
      </x:c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1" customHeight="1">
      <x:c r="A31" s="2"/>
      <x:c r="B31" s="2"/>
      <x:c r="C31" s="2" t="str">
        <x:v>Base</x:v>
      </x:c>
      <x:c r="D31" s="2"/>
      <x:c r="E31" s="24" t="n">
        <x:v>0.1</x:v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1" customHeight="1">
      <x:c r="A32" s="2"/>
      <x:c r="B32" s="2"/>
      <x:c r="C32" s="2" t="str">
        <x:v>Downside</x:v>
      </x:c>
      <x:c r="D32" s="2"/>
      <x:c r="E32" s="24" t="n">
        <x:v>0.15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1" customHeight="1">
      <x:c r="A33" s="2"/>
      <x:c r="B33" s="2"/>
      <x:c r="C33" s="2" t="str">
        <x:v>Upside</x:v>
      </x:c>
      <x:c r="D33" s="2"/>
      <x:c r="E33" s="24" t="n">
        <x:v>0.05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1" customHeight="1">
      <x:c r="A35" s="2"/>
      <x:c r="B35" s="2"/>
      <x:c r="C35" s="18" t="str">
        <x:v>DTC acquisition cost / active</x:v>
      </x:c>
      <x:c r="D35" s="18"/>
      <x:c r="E35" s="20" t="n">
        <x:f>IF(CHOOSE($E$4,ISNUMBER(E36),ISNUMBER(E37),ISNUMBER(E38)),CHOOSE($E$4,E36,E37,E38),NA())</x:f>
        <x:v>30</x:v>
      </x:c>
      <x:c r="F35" s="18" t="str">
        <x:v>USD / order</x:v>
      </x:c>
      <x:c r="G35" s="2"/>
      <x:c r="H35" s="13" t="str">
        <x:v>Planning assumption. Paid acquisition cost at shipment.</x:v>
      </x:c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1" customHeight="1">
      <x:c r="A36" s="2"/>
      <x:c r="B36" s="2"/>
      <x:c r="C36" s="2" t="str">
        <x:v>Base</x:v>
      </x:c>
      <x:c r="D36" s="2"/>
      <x:c r="E36" s="19" t="n">
        <x:v>30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1" customHeight="1">
      <x:c r="A37" s="2"/>
      <x:c r="B37" s="2"/>
      <x:c r="C37" s="2" t="str">
        <x:v>Downside</x:v>
      </x:c>
      <x:c r="D37" s="2"/>
      <x:c r="E37" s="19" t="n">
        <x:v>45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1" customHeight="1">
      <x:c r="A38" s="2"/>
      <x:c r="B38" s="2"/>
      <x:c r="C38" s="2" t="str">
        <x:v>Upside</x:v>
      </x:c>
      <x:c r="D38" s="2"/>
      <x:c r="E38" s="19" t="n">
        <x:v>20</x:v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1" customHeight="1">
      <x:c r="A40" s="2"/>
      <x:c r="B40" s="2"/>
      <x:c r="C40" s="18" t="str">
        <x:v>13-month sell-through / active</x:v>
      </x:c>
      <x:c r="D40" s="18"/>
      <x:c r="E40" s="25" t="n">
        <x:f>IF(CHOOSE($E$4,ISNUMBER(E41),ISNUMBER(E42),ISNUMBER(E43)),CHOOSE($E$4,E41,E42,E43),NA())</x:f>
        <x:v>0.85</x:v>
      </x:c>
      <x:c r="F40" s="18" t="str">
        <x:v>% saleable</x:v>
      </x:c>
      <x:c r="G40" s="2"/>
      <x:c r="H40" s="13" t="str">
        <x:v>Unproven demand. Applies to saleable stock after spares.</x:v>
      </x:c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1" customHeight="1">
      <x:c r="A41" s="2"/>
      <x:c r="B41" s="2"/>
      <x:c r="C41" s="2" t="str">
        <x:v>Base</x:v>
      </x:c>
      <x:c r="D41" s="2"/>
      <x:c r="E41" s="24" t="n">
        <x:v>0.85</x:v>
      </x:c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1" customHeight="1">
      <x:c r="A42" s="2"/>
      <x:c r="B42" s="2"/>
      <x:c r="C42" s="2" t="str">
        <x:v>Downside</x:v>
      </x:c>
      <x:c r="D42" s="2"/>
      <x:c r="E42" s="24" t="n">
        <x:v>0.55</x:v>
      </x:c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1" customHeight="1">
      <x:c r="A43" s="2"/>
      <x:c r="B43" s="2"/>
      <x:c r="C43" s="2" t="str">
        <x:v>Upside</x:v>
      </x:c>
      <x:c r="D43" s="2"/>
      <x:c r="E43" s="24" t="n">
        <x:v>0.98</x:v>
      </x:c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1" customHeight="1">
      <x:c r="A45" s="2"/>
      <x:c r="B45" s="2"/>
      <x:c r="C45" s="18" t="str">
        <x:v>Receipt / launch month / active</x:v>
      </x:c>
      <x:c r="D45" s="18"/>
      <x:c r="E45" s="21" t="n">
        <x:f>IF(CHOOSE($E$4,ISNUMBER(E46),ISNUMBER(E47),ISNUMBER(E48)),CHOOSE($E$4,E46,E47,E48),NA())</x:f>
        <x:v>12</x:v>
      </x:c>
      <x:c r="F45" s="18" t="str">
        <x:v>month index</x:v>
      </x:c>
      <x:c r="G45" s="2"/>
      <x:c r="H45" s="13" t="str">
        <x:v>M1 Nov-26. Base M12 Oct-27. No prepaid customer cash.</x:v>
      </x:c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1" customHeight="1">
      <x:c r="A46" s="2"/>
      <x:c r="B46" s="2"/>
      <x:c r="C46" s="2" t="str">
        <x:v>Base</x:v>
      </x:c>
      <x:c r="D46" s="2"/>
      <x:c r="E46" s="11" t="n">
        <x:v>12</x:v>
      </x:c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1" customHeight="1">
      <x:c r="A47" s="2"/>
      <x:c r="B47" s="2"/>
      <x:c r="C47" s="2" t="str">
        <x:v>Downside</x:v>
      </x:c>
      <x:c r="D47" s="2"/>
      <x:c r="E47" s="11" t="n">
        <x:v>15</x:v>
      </x:c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1" customHeight="1">
      <x:c r="A48" s="2"/>
      <x:c r="B48" s="2"/>
      <x:c r="C48" s="2" t="str">
        <x:v>Upside</x:v>
      </x:c>
      <x:c r="D48" s="2"/>
      <x:c r="E48" s="11" t="n">
        <x:v>11</x:v>
      </x:c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1" customHeight="1">
      <x:c r="A50" s="2"/>
      <x:c r="B50" s="2"/>
      <x:c r="C50" s="18" t="str">
        <x:v>DTC share of units / active</x:v>
      </x:c>
      <x:c r="D50" s="18"/>
      <x:c r="E50" s="25" t="n">
        <x:f>IF(CHOOSE($E$4,ISNUMBER(E51),ISNUMBER(E52),ISNUMBER(E53)),CHOOSE($E$4,E51,E52,E53),NA())</x:f>
        <x:v>0.7</x:v>
      </x:c>
      <x:c r="F50" s="18" t="str">
        <x:v>% units</x:v>
      </x:c>
      <x:c r="G50" s="2"/>
      <x:c r="H50" s="13" t="str">
        <x:v>Wholesale balance. First run only.</x:v>
      </x:c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1" customHeight="1">
      <x:c r="A51" s="2"/>
      <x:c r="B51" s="2"/>
      <x:c r="C51" s="2" t="str">
        <x:v>Base</x:v>
      </x:c>
      <x:c r="D51" s="2"/>
      <x:c r="E51" s="24" t="n">
        <x:v>0.7</x:v>
      </x:c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1" customHeight="1">
      <x:c r="A52" s="2"/>
      <x:c r="B52" s="2"/>
      <x:c r="C52" s="2" t="str">
        <x:v>Downside</x:v>
      </x:c>
      <x:c r="D52" s="2"/>
      <x:c r="E52" s="24" t="n">
        <x:v>0.8</x:v>
      </x:c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1" customHeight="1">
      <x:c r="A53" s="2"/>
      <x:c r="B53" s="2"/>
      <x:c r="C53" s="2" t="str">
        <x:v>Upside</x:v>
      </x:c>
      <x:c r="D53" s="2"/>
      <x:c r="E53" s="24" t="n">
        <x:v>0.7</x:v>
      </x:c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1" customHeight="1">
      <x:c r="A55" s="2"/>
      <x:c r="B55" s="2"/>
      <x:c r="C55" s="18" t="str">
        <x:v>One-time budget multiplier / active</x:v>
      </x:c>
      <x:c r="D55" s="18"/>
      <x:c r="E55" s="23" t="n">
        <x:f>IF(CHOOSE($E$4,ISNUMBER(E56),ISNUMBER(E57),ISNUMBER(E58)),CHOOSE($E$4,E56,E57,E58),NA())</x:f>
        <x:v>1</x:v>
      </x:c>
      <x:c r="F55" s="18" t="str">
        <x:v>x</x:v>
      </x:c>
      <x:c r="G55" s="2"/>
      <x:c r="H55" s="13" t="str">
        <x:v>Applies to all one-time categories.</x:v>
      </x:c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1" customHeight="1">
      <x:c r="A56" s="2"/>
      <x:c r="B56" s="2"/>
      <x:c r="C56" s="2" t="str">
        <x:v>Base</x:v>
      </x:c>
      <x:c r="D56" s="2"/>
      <x:c r="E56" s="22" t="n">
        <x:v>1</x:v>
      </x:c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1" customHeight="1">
      <x:c r="A57" s="2"/>
      <x:c r="B57" s="2"/>
      <x:c r="C57" s="2" t="str">
        <x:v>Downside</x:v>
      </x:c>
      <x:c r="D57" s="2"/>
      <x:c r="E57" s="22" t="n">
        <x:v>1.25</x:v>
      </x:c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1" customHeight="1">
      <x:c r="A58" s="2"/>
      <x:c r="B58" s="2"/>
      <x:c r="C58" s="2" t="str">
        <x:v>Upside</x:v>
      </x:c>
      <x:c r="D58" s="2"/>
      <x:c r="E58" s="22" t="n">
        <x:v>0.9</x:v>
      </x:c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1" customHeight="1">
      <x:c r="A60" s="2"/>
      <x:c r="B60" s="2"/>
      <x:c r="C60" s="18" t="str">
        <x:v>Monthly corporate operations / active</x:v>
      </x:c>
      <x:c r="D60" s="18"/>
      <x:c r="E60" s="20" t="n">
        <x:f>IF(CHOOSE($E$4,ISNUMBER(E61),ISNUMBER(E62),ISNUMBER(E63)),CHOOSE($E$4,E61,E62,E63),NA())</x:f>
        <x:v>8000</x:v>
      </x:c>
      <x:c r="F60" s="18" t="str">
        <x:v>USD / month</x:v>
      </x:c>
      <x:c r="G60" s="2"/>
      <x:c r="H60" s="13" t="str">
        <x:v>Founder/admin/storage/insurance allowance. Excludes project NRE contracts.</x:v>
      </x:c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1" customHeight="1">
      <x:c r="A61" s="2"/>
      <x:c r="B61" s="2"/>
      <x:c r="C61" s="2" t="str">
        <x:v>Base</x:v>
      </x:c>
      <x:c r="D61" s="2"/>
      <x:c r="E61" s="19" t="n">
        <x:v>8000</x:v>
      </x:c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1" customHeight="1">
      <x:c r="A62" s="2"/>
      <x:c r="B62" s="2"/>
      <x:c r="C62" s="2" t="str">
        <x:v>Downside</x:v>
      </x:c>
      <x:c r="D62" s="2"/>
      <x:c r="E62" s="19" t="n">
        <x:v>10000</x:v>
      </x:c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1" customHeight="1">
      <x:c r="A63" s="2"/>
      <x:c r="B63" s="2"/>
      <x:c r="C63" s="2" t="str">
        <x:v>Upside</x:v>
      </x:c>
      <x:c r="D63" s="2"/>
      <x:c r="E63" s="19" t="n">
        <x:v>7000</x:v>
      </x:c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5" customHeight="1">
      <x:c r="A65" s="2"/>
      <x:c r="B65" s="2"/>
      <x:c r="C65" s="16" t="str">
        <x:v>Shared operating assumptions</x:v>
      </x:c>
      <x:c r="D65" s="16" t="str"/>
      <x:c r="E65" s="16" t="str">
        <x:v>Value</x:v>
      </x:c>
      <x:c r="F65" s="16" t="str">
        <x:v>Units</x:v>
      </x:c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1" customHeight="1">
      <x:c r="A67" s="2"/>
      <x:c r="B67" s="2"/>
      <x:c r="C67" s="2" t="str">
        <x:v>Factory scrap / rework</x:v>
      </x:c>
      <x:c r="D67" s="2"/>
      <x:c r="E67" s="24" t="n">
        <x:v>0.03</x:v>
      </x:c>
      <x:c r="F67" s="2" t="str">
        <x:v>% EXW</x:v>
      </x:c>
      <x:c r="G67" s="2"/>
      <x:c r="H67" s="13" t="str">
        <x:v>Planning allowance. Budgeted above ex works price.</x:v>
      </x:c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1" customHeight="1">
      <x:c r="A68" s="2"/>
      <x:c r="B68" s="2"/>
      <x:c r="C68" s="2" t="str">
        <x:v>DTC card/payment variable fee</x:v>
      </x:c>
      <x:c r="D68" s="2"/>
      <x:c r="E68" s="24" t="n">
        <x:v>0.03</x:v>
      </x:c>
      <x:c r="F68" s="2" t="str">
        <x:v>% revenue</x:v>
      </x:c>
      <x:c r="G68" s="2"/>
      <x:c r="H68" s="13" t="str">
        <x:v>Planning placeholder. Obtain actual processor offer.</x:v>
      </x:c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1" customHeight="1">
      <x:c r="A69" s="2"/>
      <x:c r="B69" s="2"/>
      <x:c r="C69" s="2" t="str">
        <x:v>DTC card/payment fixed fee</x:v>
      </x:c>
      <x:c r="D69" s="2"/>
      <x:c r="E69" s="19" t="n">
        <x:v>0.3</x:v>
      </x:c>
      <x:c r="F69" s="2" t="str">
        <x:v>USD / order</x:v>
      </x:c>
      <x:c r="G69" s="2"/>
      <x:c r="H69" s="13" t="str">
        <x:v>Planning placeholder.</x:v>
      </x:c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1" customHeight="1">
      <x:c r="A70" s="2"/>
      <x:c r="B70" s="2"/>
      <x:c r="C70" s="2" t="str">
        <x:v>DTC outbound freight</x:v>
      </x:c>
      <x:c r="D70" s="2"/>
      <x:c r="E70" s="19" t="n">
        <x:v>9</x:v>
      </x:c>
      <x:c r="F70" s="2" t="str">
        <x:v>USD / unit</x:v>
      </x:c>
      <x:c r="G70" s="2"/>
      <x:c r="H70" s="13" t="str">
        <x:v>Planning allowance. Customer pays no extra shipping in this model.</x:v>
      </x:c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1" customHeight="1">
      <x:c r="A71" s="2"/>
      <x:c r="B71" s="2"/>
      <x:c r="C71" s="2" t="str">
        <x:v>DTC pick and pack</x:v>
      </x:c>
      <x:c r="D71" s="2"/>
      <x:c r="E71" s="19" t="n">
        <x:v>3.5</x:v>
      </x:c>
      <x:c r="F71" s="2" t="str">
        <x:v>USD / unit</x:v>
      </x:c>
      <x:c r="G71" s="2"/>
      <x:c r="H71" s="13" t="str">
        <x:v>Planning allowance.</x:v>
      </x:c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1" customHeight="1">
      <x:c r="A72" s="2"/>
      <x:c r="B72" s="2"/>
      <x:c r="C72" s="2" t="str">
        <x:v>DTC refund / return loss allowance</x:v>
      </x:c>
      <x:c r="D72" s="2"/>
      <x:c r="E72" s="24" t="n">
        <x:v>0.06</x:v>
      </x:c>
      <x:c r="F72" s="2" t="str">
        <x:v>% revenue</x:v>
      </x:c>
      <x:c r="G72" s="2"/>
      <x:c r="H72" s="13" t="str">
        <x:v>Includes revenue loss and reverse logistics. No resale or returned-unit restock assumed.</x:v>
      </x:c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1" customHeight="1">
      <x:c r="A73" s="2"/>
      <x:c r="B73" s="2"/>
      <x:c r="C73" s="2" t="str">
        <x:v>DTC warranty allowance</x:v>
      </x:c>
      <x:c r="D73" s="2"/>
      <x:c r="E73" s="24" t="n">
        <x:v>0.03</x:v>
      </x:c>
      <x:c r="F73" s="2" t="str">
        <x:v>% revenue</x:v>
      </x:c>
      <x:c r="G73" s="2"/>
      <x:c r="H73" s="13" t="str">
        <x:v>Expected financial provision. Spares held separately, no automatic extra replacement COGS.</x:v>
      </x:c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1" customHeight="1">
      <x:c r="A74" s="2"/>
      <x:c r="B74" s="2"/>
      <x:c r="C74" s="2" t="str">
        <x:v>DTC variable support</x:v>
      </x:c>
      <x:c r="D74" s="2"/>
      <x:c r="E74" s="19" t="n">
        <x:v>2.5</x:v>
      </x:c>
      <x:c r="F74" s="2" t="str">
        <x:v>USD / unit</x:v>
      </x:c>
      <x:c r="G74" s="2"/>
      <x:c r="H74" s="13" t="str">
        <x:v>Order-related support. Fixed security maintenance is separate.</x:v>
      </x:c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1" customHeight="1">
      <x:c r="A75" s="2"/>
      <x:c r="B75" s="2"/>
      <x:c r="C75" s="2" t="str">
        <x:v>DTC capped AI usage allowance</x:v>
      </x:c>
      <x:c r="D75" s="2"/>
      <x:c r="E75" s="19" t="n">
        <x:v>0.75</x:v>
      </x:c>
      <x:c r="F75" s="2" t="str">
        <x:v>USD / unit</x:v>
      </x:c>
      <x:c r="G75" s="2"/>
      <x:c r="H75" s="13" t="str">
        <x:v>Short bounded mission service envelope. Not lifetime AI or a vendor price quote.</x:v>
      </x:c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1" customHeight="1">
      <x:c r="A76" s="2"/>
      <x:c r="B76" s="2"/>
      <x:c r="C76" s="2" t="str">
        <x:v>Wholesale invoice fraction</x:v>
      </x:c>
      <x:c r="D76" s="2"/>
      <x:c r="E76" s="24" t="n">
        <x:v>0.5</x:v>
      </x:c>
      <x:c r="F76" s="2" t="str">
        <x:v>% MSRP</x:v>
      </x:c>
      <x:c r="G76" s="2"/>
      <x:c r="H76" s="13" t="str">
        <x:v>Planning assumption. Retailer economics require actual terms.</x:v>
      </x:c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1" customHeight="1">
      <x:c r="A77" s="2"/>
      <x:c r="B77" s="2"/>
      <x:c r="C77" s="2" t="str">
        <x:v>Wholesale freight</x:v>
      </x:c>
      <x:c r="D77" s="2"/>
      <x:c r="E77" s="19" t="n">
        <x:v>1.5</x:v>
      </x:c>
      <x:c r="F77" s="2" t="str">
        <x:v>USD / unit</x:v>
      </x:c>
      <x:c r="G77" s="2"/>
      <x:c r="H77" s="13" t="str">
        <x:v>Planning allowance.</x:v>
      </x:c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1" customHeight="1">
      <x:c r="A78" s="2"/>
      <x:c r="B78" s="2"/>
      <x:c r="C78" s="2" t="str">
        <x:v>Wholesale trade allowance</x:v>
      </x:c>
      <x:c r="D78" s="2"/>
      <x:c r="E78" s="24" t="n">
        <x:v>0.1</x:v>
      </x:c>
      <x:c r="F78" s="2" t="str">
        <x:v>% invoice</x:v>
      </x:c>
      <x:c r="G78" s="2"/>
      <x:c r="H78" s="13" t="str">
        <x:v>Includes variable commissions, promotions and deductions.</x:v>
      </x:c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1" customHeight="1">
      <x:c r="A79" s="2"/>
      <x:c r="B79" s="2"/>
      <x:c r="C79" s="2" t="str">
        <x:v>Wholesale return / warranty</x:v>
      </x:c>
      <x:c r="D79" s="2"/>
      <x:c r="E79" s="24" t="n">
        <x:v>0.05</x:v>
      </x:c>
      <x:c r="F79" s="2" t="str">
        <x:v>% invoice</x:v>
      </x:c>
      <x:c r="G79" s="2"/>
      <x:c r="H79" s="13" t="str">
        <x:v>Planning provision. No returned inventory recovery.</x:v>
      </x:c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1" customHeight="1">
      <x:c r="A80" s="2"/>
      <x:c r="B80" s="2"/>
      <x:c r="C80" s="2" t="str">
        <x:v>Wholesale variable support + AI</x:v>
      </x:c>
      <x:c r="D80" s="2"/>
      <x:c r="E80" s="19" t="n">
        <x:v>1</x:v>
      </x:c>
      <x:c r="F80" s="2" t="str">
        <x:v>USD / unit</x:v>
      </x:c>
      <x:c r="G80" s="2"/>
      <x:c r="H80" s="13" t="str">
        <x:v>Includes 0.75 capped AI usage within total 1.00. Validate with actual usage.</x:v>
      </x:c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1" customHeight="1">
      <x:c r="A81" s="2"/>
      <x:c r="B81" s="2"/>
      <x:c r="C81" s="2" t="str">
        <x:v>Factory cash deposit</x:v>
      </x:c>
      <x:c r="D81" s="2"/>
      <x:c r="E81" s="24" t="n">
        <x:v>0.3</x:v>
      </x:c>
      <x:c r="F81" s="2" t="str">
        <x:v>% factory</x:v>
      </x:c>
      <x:c r="G81" s="2"/>
      <x:c r="H81" s="13" t="str">
        <x:v>30% at launch minus 4 months. Balance at launch minus 2.</x:v>
      </x:c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1" customHeight="1">
      <x:c r="A82" s="2"/>
      <x:c r="B82" s="2"/>
      <x:c r="C82" s="2" t="str">
        <x:v>Finished spare stock</x:v>
      </x:c>
      <x:c r="D82" s="2"/>
      <x:c r="E82" s="24" t="n">
        <x:v>0.02</x:v>
      </x:c>
      <x:c r="F82" s="2" t="str">
        <x:v>% build</x:v>
      </x:c>
      <x:c r="G82" s="2"/>
      <x:c r="H82" s="13" t="str">
        <x:v>Not available for initial sales. Warranty reserve pays service; spares stay in inventory.</x:v>
      </x:c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1" customHeight="1">
      <x:c r="A83" s="2"/>
      <x:c r="B83" s="2"/>
      <x:c r="C83" s="2" t="str">
        <x:v>Wholesale collection lag</x:v>
      </x:c>
      <x:c r="D83" s="2"/>
      <x:c r="E83" s="11" t="n">
        <x:v>1</x:v>
      </x:c>
      <x:c r="F83" s="2" t="str">
        <x:v>months</x:v>
      </x:c>
      <x:c r="G83" s="2"/>
      <x:c r="H83" s="13" t="str">
        <x:v>One month, net of provisions modeled as same-month selling cash costs.</x:v>
      </x:c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1" customHeight="1">
      <x:c r="A84" s="2"/>
      <x:c r="B84" s="2"/>
      <x:c r="C84" s="2" t="str">
        <x:v>Security / fixed service budget</x:v>
      </x:c>
      <x:c r="D84" s="2"/>
      <x:c r="E84" s="19" t="n">
        <x:v>5000</x:v>
      </x:c>
      <x:c r="F84" s="2" t="str">
        <x:v>USD / month</x:v>
      </x:c>
      <x:c r="G84" s="2"/>
      <x:c r="H84" s="13" t="str">
        <x:v>Lean placeholder for security patches, app upkeep, fixed hosting and service operations.</x:v>
      </x:c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1" customHeight="1">
      <x:c r="A85" s="2"/>
      <x:c r="B85" s="2"/>
      <x:c r="C85" s="2" t="str">
        <x:v>Planned service term</x:v>
      </x:c>
      <x:c r="D85" s="2"/>
      <x:c r="E85" s="11" t="n">
        <x:v>60</x:v>
      </x:c>
      <x:c r="F85" s="2" t="str">
        <x:v>months</x:v>
      </x:c>
      <x:c r="G85" s="2"/>
      <x:c r="H85" s="13" t="str">
        <x:v>Five-year target. Fund before making a support promise.</x:v>
      </x:c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1" customHeight="1">
      <x:c r="A86" s="2"/>
      <x:c r="B86" s="2"/>
      <x:c r="C86" s="2" t="str">
        <x:v>End-of-service reserve</x:v>
      </x:c>
      <x:c r="D86" s="2"/>
      <x:c r="E86" s="19" t="n">
        <x:v>25000</x:v>
      </x:c>
      <x:c r="F86" s="2" t="str">
        <x:v>USD</x:v>
      </x:c>
      <x:c r="G86" s="2"/>
      <x:c r="H86" s="13" t="str">
        <x:v>Ringfenced liquidity for closure, data deletion, communications and final offline release.</x:v>
      </x:c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1" customHeight="1">
      <x:c r="A87" s="2"/>
      <x:c r="B87" s="2"/>
      <x:c r="C87" s="2" t="str">
        <x:v>Liquidity buffer above peak</x:v>
      </x:c>
      <x:c r="D87" s="2"/>
      <x:c r="E87" s="24" t="n">
        <x:v>0.1</x:v>
      </x:c>
      <x:c r="F87" s="2" t="str">
        <x:v>% peak need</x:v>
      </x:c>
      <x:c r="G87" s="2"/>
      <x:c r="H87" s="13" t="str">
        <x:v>Planning cushion. No bank financing or interest assumed.</x:v>
      </x:c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1" customHeight="1">
      <x:c r="A88" s="2"/>
      <x:c r="B88" s="2"/>
      <x:c r="C88" s="2" t="str">
        <x:v>Plan start date</x:v>
      </x:c>
      <x:c r="D88" s="2"/>
      <x:c r="E88" s="26" t="n">
        <x:v>46327</x:v>
      </x:c>
      <x:c r="F88" s="2" t="str">
        <x:v>date</x:v>
      </x:c>
      <x:c r="G88" s="2"/>
      <x:c r="H88" s="13" t="str">
        <x:v>Planning starts November 2026. All periods are forecast.</x:v>
      </x:c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1" customHeight="1">
      <x:c r="A89" s="2"/>
      <x:c r="B89" s="2"/>
      <x:c r="C89" s="2" t="str">
        <x:v>Inventory cash buffer</x:v>
      </x:c>
      <x:c r="D89" s="2"/>
      <x:c r="E89" s="24" t="n">
        <x:v>0.2</x:v>
      </x:c>
      <x:c r="F89" s="2" t="str">
        <x:v>% landed order</x:v>
      </x:c>
      <x:c r="G89" s="2"/>
      <x:c r="H89" s="13" t="str">
        <x:v>Liquidity cushion. No extra units or automatic expense.</x:v>
      </x:c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1" customHeight="1">
      <x:c r="A90" s="2"/>
      <x:c r="B90" s="2"/>
      <x:c r="C90" s="2" t="str">
        <x:v>NRE monthly spend weights (M1–M12)</x:v>
      </x:c>
      <x:c r="D90" s="2"/>
      <x:c r="E90" s="24" t="n">
        <x:v>0.05</x:v>
      </x:c>
      <x:c r="F90" s="24" t="n">
        <x:v>0.06</x:v>
      </x:c>
      <x:c r="G90" s="24" t="n">
        <x:v>0.08</x:v>
      </x:c>
      <x:c r="H90" s="24" t="n">
        <x:v>0.09</x:v>
      </x:c>
      <x:c r="I90" s="24" t="n">
        <x:v>0.1</x:v>
      </x:c>
      <x:c r="J90" s="24" t="n">
        <x:v>0.1</x:v>
      </x:c>
      <x:c r="K90" s="24" t="n">
        <x:v>0.1</x:v>
      </x:c>
      <x:c r="L90" s="24" t="n">
        <x:v>0.09</x:v>
      </x:c>
      <x:c r="M90" s="24" t="n">
        <x:v>0.08</x:v>
      </x:c>
      <x:c r="N90" s="24" t="n">
        <x:v>0.07</x:v>
      </x:c>
      <x:c r="O90" s="24" t="n">
        <x:v>0.1</x:v>
      </x:c>
      <x:c r="P90" s="24" t="n">
        <x:v>0.08</x:v>
      </x:c>
      <x:c r="Q90" s="2"/>
    </x:row>
    <x:row r="91" ht="21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1" customHeight="1">
      <x:c r="A92" s="2"/>
      <x:c r="B92" s="2"/>
      <x:c r="C92" s="2" t="str">
        <x:v>Sales ramp (launch month through +12)</x:v>
      </x:c>
      <x:c r="D92" s="2"/>
      <x:c r="E92" s="24" t="n">
        <x:v>0.05</x:v>
      </x:c>
      <x:c r="F92" s="24" t="n">
        <x:v>0.07</x:v>
      </x:c>
      <x:c r="G92" s="24" t="n">
        <x:v>0.08</x:v>
      </x:c>
      <x:c r="H92" s="24" t="n">
        <x:v>0.08</x:v>
      </x:c>
      <x:c r="I92" s="24" t="n">
        <x:v>0.08</x:v>
      </x:c>
      <x:c r="J92" s="24" t="n">
        <x:v>0.08</x:v>
      </x:c>
      <x:c r="K92" s="24" t="n">
        <x:v>0.08</x:v>
      </x:c>
      <x:c r="L92" s="24" t="n">
        <x:v>0.08</x:v>
      </x:c>
      <x:c r="M92" s="24" t="n">
        <x:v>0.08</x:v>
      </x:c>
      <x:c r="N92" s="24" t="n">
        <x:v>0.08</x:v>
      </x:c>
      <x:c r="O92" s="24" t="n">
        <x:v>0.08</x:v>
      </x:c>
      <x:c r="P92" s="24" t="n">
        <x:v>0.08</x:v>
      </x:c>
      <x:c r="Q92" s="24" t="n">
        <x:v>0.08</x:v>
      </x:c>
    </x:row>
    <x:row r="93" ht="21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1" customHeight="1">
      <x:c r="A94" s="2"/>
      <x:c r="B94" s="2"/>
      <x:c r="C94" s="13" t="str">
        <x:v>The final ramp month sells the remaining target units. Earlier weights set timing. No sales before receipt.</x:v>
      </x:c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1" customHeight="1">
      <x:c r="A95" s="2"/>
      <x:c r="B95" s="2"/>
      <x:c r="C95" s="2" t="str">
        <x:v>Simple capital illustration: extra runway</x:v>
      </x:c>
      <x:c r="D95" s="2"/>
      <x:c r="E95" s="27" t="n">
        <x:v>150000</x:v>
      </x:c>
      <x:c r="F95" s="2"/>
      <x:c r="G95" s="2"/>
      <x:c r="H95" s="13" t="str">
        <x:v>Illustration only. Monthly cash forecast uses actual modeled operations and service timing.</x:v>
      </x:c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1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1" customHeight="1">
      <x:c r="A97" s="2"/>
      <x:c r="B97" s="2"/>
      <x:c r="C97" s="13" t="str">
        <x:v>Source: modeled planning allowances, 17-Oct-2026. No supplier quotations, lab quotes or validated customer demand.</x:v>
      </x:c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1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1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1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</x:sheetData>
  <x:dataValidations count="2">
    <x:dataValidation type="list" sqref="E4">
      <x:formula1>"1,2,3"</x:formula1>
    </x:dataValidation>
    <x:dataValidation type="list" sqref="E16:E18">
      <x:formula1>"1000,5000,20000"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42E43"/>
  </x:sheetPr>
  <x:sheetViews>
    <x:sheetView showGridLines="0" workbookViewId="0"/>
  </x:sheetViews>
  <x:sheetFormatPr defaultRowHeight="15"/>
  <x:cols>
    <x:col min="1" max="1" width="2.200000047683716" hidden="0" customWidth="1"/>
    <x:col min="2" max="2" width="2.200000047683716" hidden="0" customWidth="1"/>
    <x:col min="3" max="3" width="5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9" customHeight="1">
      <x:c r="A2" s="2"/>
      <x:c r="B2" s="2"/>
      <x:c r="C2" s="3" t="str">
        <x:v>Unit economics</x:v>
      </x:c>
      <x:c r="D2" s="2"/>
      <x:c r="E2" s="2"/>
      <x:c r="F2" s="2"/>
      <x:c r="G2" s="2"/>
      <x:c r="H2" s="2"/>
      <x:c r="I2" s="2"/>
      <x:c r="J2" s="2"/>
      <x:c r="K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</x:row>
    <x:row r="4" ht="21" customHeight="1">
      <x:c r="A4" s="2"/>
      <x:c r="B4" s="2"/>
      <x:c r="C4" s="2" t="str">
        <x:v>Case selected:</x:v>
      </x:c>
      <x:c r="D4" s="2"/>
      <x:c r="E4" s="8" t="str">
        <x:f>'Assumptions'!$G$4</x:f>
        <x:v>Base</x:v>
      </x:c>
      <x:c r="F4" s="2"/>
      <x:c r="G4" s="2"/>
      <x:c r="H4" s="2"/>
      <x:c r="I4" s="2"/>
      <x:c r="J4" s="2"/>
      <x:c r="K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"/>
      <x:c r="B6" s="2"/>
      <x:c r="C6" s="2" t="str">
        <x:v>USD per shipped unit. Revenue excludes taxes. Refunds and warranty are cost provisions.</x:v>
      </x:c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/>
      <x:c r="B7" s="2"/>
      <x:c r="C7" s="16" t="str">
        <x:v>Unit economics</x:v>
      </x:c>
      <x:c r="D7" s="16" t="str"/>
      <x:c r="E7" s="16" t="str">
        <x:v>DTC</x:v>
      </x:c>
      <x:c r="F7" s="16" t="str"/>
      <x:c r="G7" s="16" t="str">
        <x:v>Wholesale</x:v>
      </x:c>
      <x:c r="H7" s="2"/>
      <x:c r="I7" s="2"/>
      <x:c r="J7" s="2"/>
      <x:c r="K7" s="2"/>
    </x:row>
    <x:row r="8" ht="21" customHeight="1">
      <x:c r="A8" s="2"/>
      <x:c r="B8" s="2"/>
      <x:c r="C8" s="2" t="str">
        <x:v>Retail price / MSRP</x:v>
      </x:c>
      <x:c r="D8" s="2"/>
      <x:c r="E8" s="31" t="n">
        <x:f>'Assumptions'!E10</x:f>
        <x:v>199</x:v>
      </x:c>
      <x:c r="F8" s="30"/>
      <x:c r="G8" s="30" t="n">
        <x:f>E8</x:f>
        <x:v>199</x:v>
      </x:c>
      <x:c r="H8" s="2"/>
      <x:c r="I8" s="2"/>
      <x:c r="J8" s="2"/>
      <x:c r="K8" s="2"/>
    </x:row>
    <x:row r="9" ht="21" customHeight="1">
      <x:c r="A9" s="2"/>
      <x:c r="B9" s="2"/>
      <x:c r="C9" s="43" t="str">
        <x:v>Discount / invoice fraction</x:v>
      </x:c>
      <x:c r="D9" s="43"/>
      <x:c r="E9" s="44" t="n">
        <x:f>'Assumptions'!E30</x:f>
        <x:v>0.1</x:v>
      </x:c>
      <x:c r="F9" s="45"/>
      <x:c r="G9" s="44" t="n">
        <x:f>'Assumptions'!E76</x:f>
        <x:v>0.5</x:v>
      </x:c>
      <x:c r="H9" s="2"/>
      <x:c r="I9" s="2"/>
      <x:c r="J9" s="2"/>
      <x:c r="K9" s="2"/>
    </x:row>
    <x:row r="10" ht="24" customHeight="1">
      <x:c r="A10" s="2"/>
      <x:c r="B10" s="2"/>
      <x:c r="C10" s="28" t="str">
        <x:v>Merchandise revenue</x:v>
      </x:c>
      <x:c r="D10" s="28"/>
      <x:c r="E10" s="29" t="n">
        <x:f>E8*(1-E9)</x:f>
        <x:v>179.1</x:v>
      </x:c>
      <x:c r="F10" s="29"/>
      <x:c r="G10" s="29" t="n">
        <x:f>G8*G9</x:f>
        <x:v>99.5</x:v>
      </x:c>
      <x:c r="H10" s="2"/>
      <x:c r="I10" s="2"/>
      <x:c r="J10" s="2"/>
      <x:c r="K10" s="2"/>
    </x:row>
    <x:row r="11" ht="21" customHeight="1">
      <x:c r="A11" s="2"/>
      <x:c r="B11" s="2"/>
      <x:c r="C11" s="2" t="str">
        <x:v>Landed product cost</x:v>
      </x:c>
      <x:c r="D11" s="2"/>
      <x:c r="E11" s="31" t="n">
        <x:f>'BOM'!E36</x:f>
        <x:v>48.998</x:v>
      </x:c>
      <x:c r="F11" s="30"/>
      <x:c r="G11" s="30" t="n">
        <x:f>E11</x:f>
        <x:v>48.998</x:v>
      </x:c>
      <x:c r="H11" s="2"/>
      <x:c r="I11" s="2"/>
      <x:c r="J11" s="2"/>
      <x:c r="K11" s="2"/>
    </x:row>
    <x:row r="12" ht="24" customHeight="1">
      <x:c r="A12" s="2"/>
      <x:c r="B12" s="2"/>
      <x:c r="C12" s="28" t="str">
        <x:v>Gross profit before selling costs</x:v>
      </x:c>
      <x:c r="D12" s="28"/>
      <x:c r="E12" s="29" t="n">
        <x:f>E10-E11</x:f>
        <x:v>130.102</x:v>
      </x:c>
      <x:c r="F12" s="29"/>
      <x:c r="G12" s="29" t="n">
        <x:f>G10-G11</x:f>
        <x:v>50.502</x:v>
      </x:c>
      <x:c r="H12" s="2"/>
      <x:c r="I12" s="2"/>
      <x:c r="J12" s="2"/>
      <x:c r="K12" s="2"/>
    </x:row>
    <x:row r="13" ht="21" customHeight="1">
      <x:c r="A13" s="2"/>
      <x:c r="B13" s="2"/>
      <x:c r="C13" s="43" t="str">
        <x:v>Gross margin</x:v>
      </x:c>
      <x:c r="D13" s="43"/>
      <x:c r="E13" s="45" t="n">
        <x:f>E12/E10</x:f>
        <x:v>0.7264209938581798</x:v>
      </x:c>
      <x:c r="F13" s="45"/>
      <x:c r="G13" s="45" t="n">
        <x:f>G12/G10</x:f>
        <x:v>0.5075577889447237</x:v>
      </x:c>
      <x:c r="H13" s="2"/>
      <x:c r="I13" s="2"/>
      <x:c r="J13" s="2"/>
      <x:c r="K13" s="2"/>
    </x:row>
    <x:row r="14" ht="21" customHeight="1">
      <x:c r="A14" s="2"/>
      <x:c r="B14" s="2"/>
      <x:c r="C14" s="2"/>
      <x:c r="D14" s="2"/>
      <x:c r="E14" s="30"/>
      <x:c r="F14" s="30"/>
      <x:c r="G14" s="30"/>
      <x:c r="H14" s="2"/>
      <x:c r="I14" s="2"/>
      <x:c r="J14" s="2"/>
      <x:c r="K14" s="2"/>
    </x:row>
    <x:row r="15" ht="21" customHeight="1">
      <x:c r="A15" s="2"/>
      <x:c r="B15" s="2"/>
      <x:c r="C15" s="2" t="str">
        <x:v>Payment fees</x:v>
      </x:c>
      <x:c r="D15" s="2"/>
      <x:c r="E15" s="31" t="n">
        <x:f>E10*'Assumptions'!E68+'Assumptions'!E69</x:f>
        <x:v>5.672999999999999</x:v>
      </x:c>
      <x:c r="F15" s="30"/>
      <x:c r="G15" s="30" t="n">
        <x:f>0</x:f>
        <x:v>0</x:v>
      </x:c>
      <x:c r="H15" s="2"/>
      <x:c r="I15" s="2"/>
      <x:c r="J15" s="2"/>
      <x:c r="K15" s="2"/>
    </x:row>
    <x:row r="16" ht="21" customHeight="1">
      <x:c r="A16" s="2"/>
      <x:c r="B16" s="2"/>
      <x:c r="C16" s="2" t="str">
        <x:v>Outbound freight</x:v>
      </x:c>
      <x:c r="D16" s="2"/>
      <x:c r="E16" s="31" t="n">
        <x:f>'Assumptions'!E70</x:f>
        <x:v>9</x:v>
      </x:c>
      <x:c r="F16" s="30"/>
      <x:c r="G16" s="31" t="n">
        <x:f>'Assumptions'!E77</x:f>
        <x:v>1.5</x:v>
      </x:c>
      <x:c r="H16" s="2"/>
      <x:c r="I16" s="2"/>
      <x:c r="J16" s="2"/>
      <x:c r="K16" s="2"/>
    </x:row>
    <x:row r="17" ht="21" customHeight="1">
      <x:c r="A17" s="2"/>
      <x:c r="B17" s="2"/>
      <x:c r="C17" s="2" t="str">
        <x:v>Pick and pack</x:v>
      </x:c>
      <x:c r="D17" s="2"/>
      <x:c r="E17" s="31" t="n">
        <x:f>'Assumptions'!E71</x:f>
        <x:v>3.5</x:v>
      </x:c>
      <x:c r="F17" s="30"/>
      <x:c r="G17" s="30" t="n">
        <x:f>0</x:f>
        <x:v>0</x:v>
      </x:c>
      <x:c r="H17" s="2"/>
      <x:c r="I17" s="2"/>
      <x:c r="J17" s="2"/>
      <x:c r="K17" s="2"/>
    </x:row>
    <x:row r="18" ht="21" customHeight="1">
      <x:c r="A18" s="2"/>
      <x:c r="B18" s="2"/>
      <x:c r="C18" s="2" t="str">
        <x:v>Refund / return loss provision</x:v>
      </x:c>
      <x:c r="D18" s="2"/>
      <x:c r="E18" s="31" t="n">
        <x:f>E10*'Assumptions'!E72</x:f>
        <x:v>10.745999999999999</x:v>
      </x:c>
      <x:c r="F18" s="30"/>
      <x:c r="G18" s="30" t="n">
        <x:f>0</x:f>
        <x:v>0</x:v>
      </x:c>
      <x:c r="H18" s="2"/>
      <x:c r="I18" s="2"/>
      <x:c r="J18" s="2"/>
      <x:c r="K18" s="2"/>
    </x:row>
    <x:row r="19" ht="21" customHeight="1">
      <x:c r="A19" s="2"/>
      <x:c r="B19" s="2"/>
      <x:c r="C19" s="2" t="str">
        <x:v>Warranty provision</x:v>
      </x:c>
      <x:c r="D19" s="2"/>
      <x:c r="E19" s="31" t="n">
        <x:f>E10*'Assumptions'!E73</x:f>
        <x:v>5.372999999999999</x:v>
      </x:c>
      <x:c r="F19" s="30"/>
      <x:c r="G19" s="30" t="n">
        <x:f>0</x:f>
        <x:v>0</x:v>
      </x:c>
      <x:c r="H19" s="2"/>
      <x:c r="I19" s="2"/>
      <x:c r="J19" s="2"/>
      <x:c r="K19" s="2"/>
    </x:row>
    <x:row r="20" ht="21" customHeight="1">
      <x:c r="A20" s="2"/>
      <x:c r="B20" s="2"/>
      <x:c r="C20" s="2" t="str">
        <x:v>Variable support</x:v>
      </x:c>
      <x:c r="D20" s="2"/>
      <x:c r="E20" s="31" t="n">
        <x:f>'Assumptions'!E74</x:f>
        <x:v>2.5</x:v>
      </x:c>
      <x:c r="F20" s="30"/>
      <x:c r="G20" s="31" t="n">
        <x:f>'Assumptions'!E80</x:f>
        <x:v>1</x:v>
      </x:c>
      <x:c r="H20" s="2"/>
      <x:c r="I20" s="2"/>
      <x:c r="J20" s="2"/>
      <x:c r="K20" s="2"/>
    </x:row>
    <x:row r="21" ht="21" customHeight="1">
      <x:c r="A21" s="2"/>
      <x:c r="B21" s="2"/>
      <x:c r="C21" s="2" t="str">
        <x:v>Capped AI usage allowance</x:v>
      </x:c>
      <x:c r="D21" s="2"/>
      <x:c r="E21" s="31" t="n">
        <x:f>'Assumptions'!E75</x:f>
        <x:v>0.75</x:v>
      </x:c>
      <x:c r="F21" s="30"/>
      <x:c r="G21" s="30" t="n">
        <x:f>0</x:f>
        <x:v>0</x:v>
      </x:c>
      <x:c r="H21" s="2"/>
      <x:c r="I21" s="2"/>
      <x:c r="J21" s="2"/>
      <x:c r="K21" s="2"/>
    </x:row>
    <x:row r="22" ht="21" customHeight="1">
      <x:c r="A22" s="2"/>
      <x:c r="B22" s="2"/>
      <x:c r="C22" s="2" t="str">
        <x:v>Customer acquisition</x:v>
      </x:c>
      <x:c r="D22" s="2"/>
      <x:c r="E22" s="31" t="n">
        <x:f>'Assumptions'!E35</x:f>
        <x:v>30</x:v>
      </x:c>
      <x:c r="F22" s="30"/>
      <x:c r="G22" s="30" t="n">
        <x:f>0</x:f>
        <x:v>0</x:v>
      </x:c>
      <x:c r="H22" s="2"/>
      <x:c r="I22" s="2"/>
      <x:c r="J22" s="2"/>
      <x:c r="K22" s="2"/>
    </x:row>
    <x:row r="23" ht="21" customHeight="1">
      <x:c r="A23" s="2"/>
      <x:c r="B23" s="2"/>
      <x:c r="C23" s="2" t="str">
        <x:v>Trade / commission allowance</x:v>
      </x:c>
      <x:c r="D23" s="2"/>
      <x:c r="E23" s="30" t="n">
        <x:f>0</x:f>
        <x:v>0</x:v>
      </x:c>
      <x:c r="F23" s="30"/>
      <x:c r="G23" s="31" t="n">
        <x:f>G10*'Assumptions'!E78</x:f>
        <x:v>9.950000000000001</x:v>
      </x:c>
      <x:c r="H23" s="2"/>
      <x:c r="I23" s="2"/>
      <x:c r="J23" s="2"/>
      <x:c r="K23" s="2"/>
    </x:row>
    <x:row r="24" ht="21" customHeight="1">
      <x:c r="A24" s="2"/>
      <x:c r="B24" s="2"/>
      <x:c r="C24" s="2" t="str">
        <x:v>Wholesale return / warranty</x:v>
      </x:c>
      <x:c r="D24" s="2"/>
      <x:c r="E24" s="30" t="n">
        <x:f>0</x:f>
        <x:v>0</x:v>
      </x:c>
      <x:c r="F24" s="30"/>
      <x:c r="G24" s="31" t="n">
        <x:f>G10*'Assumptions'!E79</x:f>
        <x:v>4.9750000000000005</x:v>
      </x:c>
      <x:c r="H24" s="2"/>
      <x:c r="I24" s="2"/>
      <x:c r="J24" s="2"/>
      <x:c r="K24" s="2"/>
    </x:row>
    <x:row r="25" ht="24" customHeight="1">
      <x:c r="A25" s="2"/>
      <x:c r="B25" s="2"/>
      <x:c r="C25" s="28" t="str">
        <x:v>Total variable selling costs</x:v>
      </x:c>
      <x:c r="D25" s="28"/>
      <x:c r="E25" s="29" t="n">
        <x:f>SUM(E15:E24)</x:f>
        <x:v>67.542</x:v>
      </x:c>
      <x:c r="F25" s="29"/>
      <x:c r="G25" s="29" t="n">
        <x:f>SUM(G15:G24)</x:f>
        <x:v>17.425</x:v>
      </x:c>
      <x:c r="H25" s="2"/>
      <x:c r="I25" s="2"/>
      <x:c r="J25" s="2"/>
      <x:c r="K25" s="2"/>
    </x:row>
    <x:row r="26" ht="24" customHeight="1">
      <x:c r="A26" s="2"/>
      <x:c r="B26" s="2"/>
      <x:c r="C26" s="28" t="str">
        <x:v>Contribution before NRE and overhead</x:v>
      </x:c>
      <x:c r="D26" s="28"/>
      <x:c r="E26" s="29" t="n">
        <x:f>E10-E11-E25</x:f>
        <x:v>62.56</x:v>
      </x:c>
      <x:c r="F26" s="29"/>
      <x:c r="G26" s="29" t="n">
        <x:f>G10-G11-G25</x:f>
        <x:v>33.077</x:v>
      </x:c>
      <x:c r="H26" s="2"/>
      <x:c r="I26" s="2"/>
      <x:c r="J26" s="2"/>
      <x:c r="K26" s="2"/>
    </x:row>
    <x:row r="27" ht="21" customHeight="1">
      <x:c r="A27" s="2"/>
      <x:c r="B27" s="2"/>
      <x:c r="C27" s="43" t="str">
        <x:v>Contribution margin</x:v>
      </x:c>
      <x:c r="D27" s="43"/>
      <x:c r="E27" s="45" t="n">
        <x:f>E26/E10</x:f>
        <x:v>0.3493020658849805</x:v>
      </x:c>
      <x:c r="F27" s="45"/>
      <x:c r="G27" s="45" t="n">
        <x:f>G26/G10</x:f>
        <x:v>0.3324321608040201</x:v>
      </x:c>
      <x:c r="H27" s="2"/>
      <x:c r="I27" s="2"/>
      <x:c r="J27" s="2"/>
      <x:c r="K27" s="2"/>
    </x:row>
    <x:row r="28" ht="21" customHeight="1">
      <x:c r="A28" s="2"/>
      <x:c r="B28" s="2"/>
      <x:c r="C28" s="2"/>
      <x:c r="D28" s="2"/>
      <x:c r="E28" s="30"/>
      <x:c r="F28" s="30"/>
      <x:c r="G28" s="30"/>
      <x:c r="H28" s="2"/>
      <x:c r="I28" s="2"/>
      <x:c r="J28" s="2"/>
      <x:c r="K28" s="2"/>
    </x:row>
    <x:row r="29" ht="21" customHeight="1">
      <x:c r="A29" s="2"/>
      <x:c r="B29" s="2"/>
      <x:c r="C29" s="43" t="str">
        <x:v>Share of units</x:v>
      </x:c>
      <x:c r="D29" s="43"/>
      <x:c r="E29" s="44" t="n">
        <x:f>'Assumptions'!E50</x:f>
        <x:v>0.7</x:v>
      </x:c>
      <x:c r="F29" s="45"/>
      <x:c r="G29" s="45" t="n">
        <x:f>1-E29</x:f>
        <x:v>0.30000000000000004</x:v>
      </x:c>
      <x:c r="H29" s="2"/>
      <x:c r="I29" s="2"/>
      <x:c r="J29" s="2"/>
      <x:c r="K29" s="2"/>
    </x:row>
    <x:row r="30" ht="24" customHeight="1">
      <x:c r="A30" s="2"/>
      <x:c r="B30" s="2"/>
      <x:c r="C30" s="28" t="str">
        <x:v>Blended contribution / unit</x:v>
      </x:c>
      <x:c r="D30" s="28"/>
      <x:c r="E30" s="29" t="n">
        <x:f>E26*E29+G26*G29</x:f>
        <x:v>53.71510000000001</x:v>
      </x:c>
      <x:c r="F30" s="29"/>
      <x:c r="G30" s="29"/>
      <x:c r="H30" s="2"/>
      <x:c r="I30" s="2"/>
      <x:c r="J30" s="2"/>
      <x:c r="K30" s="2"/>
    </x:row>
    <x:row r="31" ht="21" customHeight="1">
      <x:c r="A31" s="2"/>
      <x:c r="B31" s="2"/>
      <x:c r="C31" s="2" t="str">
        <x:v>Units to recover one-time budget</x:v>
      </x:c>
      <x:c r="D31" s="2"/>
      <x:c r="E31" s="46" t="n">
        <x:f>IF(E30&gt;0,ROUNDUP('Investment'!E14/E30,0),NA())</x:f>
        <x:v>10612</x:v>
      </x:c>
      <x:c r="F31" s="2"/>
      <x:c r="G31" s="2"/>
      <x:c r="H31" s="2"/>
      <x:c r="I31" s="2"/>
      <x:c r="J31" s="2"/>
      <x:c r="K31" s="2"/>
    </x:row>
    <x:row r="32" ht="21" customHeight="1">
      <x:c r="A32" s="2"/>
      <x:c r="B32" s="2"/>
      <x:c r="C32" s="2" t="str">
        <x:v>DTC-only units to recover one-time budget</x:v>
      </x:c>
      <x:c r="D32" s="2"/>
      <x:c r="E32" s="46" t="n">
        <x:f>IF(E26&gt;0,ROUNDUP('Investment'!E14/E26,0),NA())</x:f>
        <x:v>9112</x:v>
      </x:c>
      <x:c r="F32" s="2"/>
      <x:c r="G32" s="2"/>
      <x:c r="H32" s="2"/>
      <x:c r="I32" s="2"/>
      <x:c r="J32" s="2"/>
      <x:c r="K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1" customHeight="1">
      <x:c r="A35" s="2"/>
      <x:c r="B35" s="2"/>
      <x:c r="C35" s="13" t="str">
        <x:v>Wholesale support includes 0.75 capped AI usage within its 1.00 total support allowance.</x:v>
      </x:c>
      <x:c r="D35" s="2"/>
      <x:c r="E35" s="2"/>
      <x:c r="F35" s="2"/>
      <x:c r="G35" s="2"/>
      <x:c r="H35" s="2"/>
      <x:c r="I35" s="2"/>
      <x:c r="J35" s="2"/>
      <x:c r="K35" s="2"/>
    </x:row>
    <x:row r="36" ht="21" customHeight="1">
      <x:c r="A36" s="2"/>
      <x:c r="B36" s="2"/>
      <x:c r="C36" s="13" t="str">
        <x:v>Breakeven assumes the full one-time funding budget is spent. Corporate ops and fixed service are additional.</x:v>
      </x:c>
      <x:c r="D36" s="2"/>
      <x:c r="E36" s="2"/>
      <x:c r="F36" s="2"/>
      <x:c r="G36" s="2"/>
      <x:c r="H36" s="2"/>
      <x:c r="I36" s="2"/>
      <x:c r="J36" s="2"/>
      <x:c r="K36" s="2"/>
    </x:row>
    <x:row r="37" ht="21" customHeight="1">
      <x:c r="A37" s="2"/>
      <x:c r="B37" s="2"/>
      <x:c r="C37" s="13" t="str">
        <x:v>Refund/return provisions are treated as cash costs at shipment. No returned-unit stock recovery is booked.</x:v>
      </x:c>
      <x:c r="D37" s="2"/>
      <x:c r="E37" s="2"/>
      <x:c r="F37" s="2"/>
      <x:c r="G37" s="2"/>
      <x:c r="H37" s="2"/>
      <x:c r="I37" s="2"/>
      <x:c r="J37" s="2"/>
      <x:c r="K37" s="2"/>
    </x:row>
    <x:row r="38" ht="21" customHeight="1">
      <x:c r="A38" s="2"/>
      <x:c r="B38" s="2"/>
      <x:c r="C38" s="13" t="str">
        <x:v>No tax, reorder, inventory liquidation, subscription income or prepaid customer financing assumed.</x:v>
      </x:c>
      <x:c r="D38" s="2"/>
      <x:c r="E38" s="2"/>
      <x:c r="F38" s="2"/>
      <x:c r="G38" s="2"/>
      <x:c r="H38" s="2"/>
      <x:c r="I38" s="2"/>
      <x:c r="J38" s="2"/>
      <x:c r="K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42E43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46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</x:row>
    <x:row r="2" ht="29" customHeight="1">
      <x:c r="A2" s="2"/>
      <x:c r="B2" s="2"/>
      <x:c r="C2" s="3" t="str">
        <x:v>24-month launch cash forecast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</x:row>
    <x:row r="4" ht="21" customHeight="1">
      <x:c r="A4" s="2"/>
      <x:c r="B4" s="2"/>
      <x:c r="C4" s="2" t="str">
        <x:v>Case selected:</x:v>
      </x:c>
      <x:c r="D4" s="2"/>
      <x:c r="E4" s="8" t="str">
        <x:f>'Assumptions'!$G$4</x:f>
        <x:v>Base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</x:row>
    <x:row r="5" ht="17" customHeight="1">
      <x:c r="A5" s="2"/>
      <x:c r="B5" s="2"/>
      <x:c r="C5" s="2"/>
      <x:c r="D5" s="2" t="str">
        <x:v>24 months</x:v>
      </x:c>
      <x:c r="E5" s="55" t="n">
        <x:v>1</x:v>
      </x:c>
      <x:c r="F5" s="55" t="n">
        <x:v>2</x:v>
      </x:c>
      <x:c r="G5" s="55" t="n">
        <x:v>3</x:v>
      </x:c>
      <x:c r="H5" s="55" t="n">
        <x:v>4</x:v>
      </x:c>
      <x:c r="I5" s="55" t="n">
        <x:v>5</x:v>
      </x:c>
      <x:c r="J5" s="55" t="n">
        <x:v>6</x:v>
      </x:c>
      <x:c r="K5" s="55" t="n">
        <x:v>7</x:v>
      </x:c>
      <x:c r="L5" s="55" t="n">
        <x:v>8</x:v>
      </x:c>
      <x:c r="M5" s="55" t="n">
        <x:v>9</x:v>
      </x:c>
      <x:c r="N5" s="55" t="n">
        <x:v>10</x:v>
      </x:c>
      <x:c r="O5" s="55" t="n">
        <x:v>11</x:v>
      </x:c>
      <x:c r="P5" s="55" t="n">
        <x:v>12</x:v>
      </x:c>
      <x:c r="Q5" s="55" t="n">
        <x:v>13</x:v>
      </x:c>
      <x:c r="R5" s="55" t="n">
        <x:v>14</x:v>
      </x:c>
      <x:c r="S5" s="55" t="n">
        <x:v>15</x:v>
      </x:c>
      <x:c r="T5" s="55" t="n">
        <x:v>16</x:v>
      </x:c>
      <x:c r="U5" s="55" t="n">
        <x:v>17</x:v>
      </x:c>
      <x:c r="V5" s="55" t="n">
        <x:v>18</x:v>
      </x:c>
      <x:c r="W5" s="55" t="n">
        <x:v>19</x:v>
      </x:c>
      <x:c r="X5" s="55" t="n">
        <x:v>20</x:v>
      </x:c>
      <x:c r="Y5" s="55" t="n">
        <x:v>21</x:v>
      </x:c>
      <x:c r="Z5" s="55" t="n">
        <x:v>22</x:v>
      </x:c>
      <x:c r="AA5" s="55" t="n">
        <x:v>23</x:v>
      </x:c>
      <x:c r="AB5" s="55" t="n">
        <x:v>24</x:v>
      </x:c>
    </x:row>
    <x:row r="6" ht="25" customHeight="1">
      <x:c r="A6" s="2"/>
      <x:c r="B6" s="2"/>
      <x:c r="C6" s="16" t="str">
        <x:v>All periods are forecast</x:v>
      </x:c>
      <x:c r="D6" s="16" t="str">
        <x:v>Total / ending</x:v>
      </x:c>
      <x:c r="E6" s="53" t="n">
        <x:f>'Assumptions'!$E$88</x:f>
        <x:v>46327</x:v>
      </x:c>
      <x:c r="F6" s="53" t="n">
        <x:f>EDATE(E6,1)</x:f>
        <x:v>46357</x:v>
      </x:c>
      <x:c r="G6" s="53" t="n">
        <x:f>EDATE(F6,1)</x:f>
        <x:v>46388</x:v>
      </x:c>
      <x:c r="H6" s="53" t="n">
        <x:f>EDATE(G6,1)</x:f>
        <x:v>46419</x:v>
      </x:c>
      <x:c r="I6" s="53" t="n">
        <x:f>EDATE(H6,1)</x:f>
        <x:v>46447</x:v>
      </x:c>
      <x:c r="J6" s="53" t="n">
        <x:f>EDATE(I6,1)</x:f>
        <x:v>46478</x:v>
      </x:c>
      <x:c r="K6" s="53" t="n">
        <x:f>EDATE(J6,1)</x:f>
        <x:v>46508</x:v>
      </x:c>
      <x:c r="L6" s="53" t="n">
        <x:f>EDATE(K6,1)</x:f>
        <x:v>46539</x:v>
      </x:c>
      <x:c r="M6" s="53" t="n">
        <x:f>EDATE(L6,1)</x:f>
        <x:v>46569</x:v>
      </x:c>
      <x:c r="N6" s="53" t="n">
        <x:f>EDATE(M6,1)</x:f>
        <x:v>46600</x:v>
      </x:c>
      <x:c r="O6" s="53" t="n">
        <x:f>EDATE(N6,1)</x:f>
        <x:v>46631</x:v>
      </x:c>
      <x:c r="P6" s="53" t="n">
        <x:f>EDATE(O6,1)</x:f>
        <x:v>46661</x:v>
      </x:c>
      <x:c r="Q6" s="53" t="n">
        <x:f>EDATE(P6,1)</x:f>
        <x:v>46692</x:v>
      </x:c>
      <x:c r="R6" s="53" t="n">
        <x:f>EDATE(Q6,1)</x:f>
        <x:v>46722</x:v>
      </x:c>
      <x:c r="S6" s="53" t="n">
        <x:f>EDATE(R6,1)</x:f>
        <x:v>46753</x:v>
      </x:c>
      <x:c r="T6" s="53" t="n">
        <x:f>EDATE(S6,1)</x:f>
        <x:v>46784</x:v>
      </x:c>
      <x:c r="U6" s="53" t="n">
        <x:f>EDATE(T6,1)</x:f>
        <x:v>46813</x:v>
      </x:c>
      <x:c r="V6" s="53" t="n">
        <x:f>EDATE(U6,1)</x:f>
        <x:v>46844</x:v>
      </x:c>
      <x:c r="W6" s="53" t="n">
        <x:f>EDATE(V6,1)</x:f>
        <x:v>46874</x:v>
      </x:c>
      <x:c r="X6" s="53" t="n">
        <x:f>EDATE(W6,1)</x:f>
        <x:v>46905</x:v>
      </x:c>
      <x:c r="Y6" s="53" t="n">
        <x:f>EDATE(X6,1)</x:f>
        <x:v>46935</x:v>
      </x:c>
      <x:c r="Z6" s="53" t="n">
        <x:f>EDATE(Y6,1)</x:f>
        <x:v>46966</x:v>
      </x:c>
      <x:c r="AA6" s="53" t="n">
        <x:f>EDATE(Z6,1)</x:f>
        <x:v>46997</x:v>
      </x:c>
      <x:c r="AB6" s="53" t="n">
        <x:f>EDATE(AA6,1)</x:f>
        <x:v>47027</x:v>
      </x:c>
    </x:row>
    <x:row r="7" ht="21" customHeight="1">
      <x:c r="A7" s="2"/>
      <x:c r="B7" s="2"/>
      <x:c r="C7" s="2" t="str">
        <x:v>Month since launch</x:v>
      </x:c>
      <x:c r="D7" s="58" t="n">
        <x:f>0</x:f>
        <x:v>0</x:v>
      </x:c>
      <x:c r="E7" s="46" t="n">
        <x:f>E$5-'Assumptions'!$E$45+1</x:f>
        <x:v>-10</x:v>
      </x:c>
      <x:c r="F7" s="46" t="n">
        <x:f>F$5-'Assumptions'!$E$45+1</x:f>
        <x:v>-9</x:v>
      </x:c>
      <x:c r="G7" s="46" t="n">
        <x:f>G$5-'Assumptions'!$E$45+1</x:f>
        <x:v>-8</x:v>
      </x:c>
      <x:c r="H7" s="46" t="n">
        <x:f>H$5-'Assumptions'!$E$45+1</x:f>
        <x:v>-7</x:v>
      </x:c>
      <x:c r="I7" s="46" t="n">
        <x:f>I$5-'Assumptions'!$E$45+1</x:f>
        <x:v>-6</x:v>
      </x:c>
      <x:c r="J7" s="46" t="n">
        <x:f>J$5-'Assumptions'!$E$45+1</x:f>
        <x:v>-5</x:v>
      </x:c>
      <x:c r="K7" s="46" t="n">
        <x:f>K$5-'Assumptions'!$E$45+1</x:f>
        <x:v>-4</x:v>
      </x:c>
      <x:c r="L7" s="46" t="n">
        <x:f>L$5-'Assumptions'!$E$45+1</x:f>
        <x:v>-3</x:v>
      </x:c>
      <x:c r="M7" s="46" t="n">
        <x:f>M$5-'Assumptions'!$E$45+1</x:f>
        <x:v>-2</x:v>
      </x:c>
      <x:c r="N7" s="46" t="n">
        <x:f>N$5-'Assumptions'!$E$45+1</x:f>
        <x:v>-1</x:v>
      </x:c>
      <x:c r="O7" s="46" t="n">
        <x:f>O$5-'Assumptions'!$E$45+1</x:f>
        <x:v>0</x:v>
      </x:c>
      <x:c r="P7" s="46" t="n">
        <x:f>P$5-'Assumptions'!$E$45+1</x:f>
        <x:v>1</x:v>
      </x:c>
      <x:c r="Q7" s="46" t="n">
        <x:f>Q$5-'Assumptions'!$E$45+1</x:f>
        <x:v>2</x:v>
      </x:c>
      <x:c r="R7" s="46" t="n">
        <x:f>R$5-'Assumptions'!$E$45+1</x:f>
        <x:v>3</x:v>
      </x:c>
      <x:c r="S7" s="46" t="n">
        <x:f>S$5-'Assumptions'!$E$45+1</x:f>
        <x:v>4</x:v>
      </x:c>
      <x:c r="T7" s="46" t="n">
        <x:f>T$5-'Assumptions'!$E$45+1</x:f>
        <x:v>5</x:v>
      </x:c>
      <x:c r="U7" s="46" t="n">
        <x:f>U$5-'Assumptions'!$E$45+1</x:f>
        <x:v>6</x:v>
      </x:c>
      <x:c r="V7" s="46" t="n">
        <x:f>V$5-'Assumptions'!$E$45+1</x:f>
        <x:v>7</x:v>
      </x:c>
      <x:c r="W7" s="46" t="n">
        <x:f>W$5-'Assumptions'!$E$45+1</x:f>
        <x:v>8</x:v>
      </x:c>
      <x:c r="X7" s="46" t="n">
        <x:f>X$5-'Assumptions'!$E$45+1</x:f>
        <x:v>9</x:v>
      </x:c>
      <x:c r="Y7" s="46" t="n">
        <x:f>Y$5-'Assumptions'!$E$45+1</x:f>
        <x:v>10</x:v>
      </x:c>
      <x:c r="Z7" s="46" t="n">
        <x:f>Z$5-'Assumptions'!$E$45+1</x:f>
        <x:v>11</x:v>
      </x:c>
      <x:c r="AA7" s="46" t="n">
        <x:f>AA$5-'Assumptions'!$E$45+1</x:f>
        <x:v>12</x:v>
      </x:c>
      <x:c r="AB7" s="46" t="n">
        <x:f>AB$5-'Assumptions'!$E$45+1</x:f>
        <x:v>13</x:v>
      </x:c>
    </x:row>
    <x:row r="8" ht="21" customHeight="1">
      <x:c r="A8" s="2"/>
      <x:c r="B8" s="2"/>
      <x:c r="C8" s="2" t="str">
        <x:v>Opening finished inventory</x:v>
      </x:c>
      <x:c r="D8" s="58" t="n">
        <x:f>0</x:f>
        <x:v>0</x:v>
      </x:c>
      <x:c r="E8" s="50" t="n">
        <x:f>0</x:f>
        <x:v>0</x:v>
      </x:c>
      <x:c r="F8" s="50" t="n">
        <x:f>E14</x:f>
        <x:v>0</x:v>
      </x:c>
      <x:c r="G8" s="50" t="n">
        <x:f>F14</x:f>
        <x:v>0</x:v>
      </x:c>
      <x:c r="H8" s="50" t="n">
        <x:f>G14</x:f>
        <x:v>0</x:v>
      </x:c>
      <x:c r="I8" s="50" t="n">
        <x:f>H14</x:f>
        <x:v>0</x:v>
      </x:c>
      <x:c r="J8" s="50" t="n">
        <x:f>I14</x:f>
        <x:v>0</x:v>
      </x:c>
      <x:c r="K8" s="50" t="n">
        <x:f>J14</x:f>
        <x:v>0</x:v>
      </x:c>
      <x:c r="L8" s="50" t="n">
        <x:f>K14</x:f>
        <x:v>0</x:v>
      </x:c>
      <x:c r="M8" s="50" t="n">
        <x:f>L14</x:f>
        <x:v>0</x:v>
      </x:c>
      <x:c r="N8" s="50" t="n">
        <x:f>M14</x:f>
        <x:v>0</x:v>
      </x:c>
      <x:c r="O8" s="50" t="n">
        <x:f>N14</x:f>
        <x:v>0</x:v>
      </x:c>
      <x:c r="P8" s="50" t="n">
        <x:f>O14</x:f>
        <x:v>0</x:v>
      </x:c>
      <x:c r="Q8" s="50" t="n">
        <x:f>P14</x:f>
        <x:v>4792</x:v>
      </x:c>
      <x:c r="R8" s="50" t="n">
        <x:f>Q14</x:f>
        <x:v>4500</x:v>
      </x:c>
      <x:c r="S8" s="50" t="n">
        <x:f>R14</x:f>
        <x:v>4167</x:v>
      </x:c>
      <x:c r="T8" s="50" t="n">
        <x:f>S14</x:f>
        <x:v>3834</x:v>
      </x:c>
      <x:c r="U8" s="50" t="n">
        <x:f>T14</x:f>
        <x:v>3501</x:v>
      </x:c>
      <x:c r="V8" s="50" t="n">
        <x:f>U14</x:f>
        <x:v>3168</x:v>
      </x:c>
      <x:c r="W8" s="50" t="n">
        <x:f>V14</x:f>
        <x:v>2835</x:v>
      </x:c>
      <x:c r="X8" s="50" t="n">
        <x:f>W14</x:f>
        <x:v>2502</x:v>
      </x:c>
      <x:c r="Y8" s="50" t="n">
        <x:f>X14</x:f>
        <x:v>2169</x:v>
      </x:c>
      <x:c r="Z8" s="50" t="n">
        <x:f>Y14</x:f>
        <x:v>1836</x:v>
      </x:c>
      <x:c r="AA8" s="50" t="n">
        <x:f>Z14</x:f>
        <x:v>1503</x:v>
      </x:c>
      <x:c r="AB8" s="50" t="n">
        <x:f>AA14</x:f>
        <x:v>1170</x:v>
      </x:c>
    </x:row>
    <x:row r="9" ht="21" customHeight="1">
      <x:c r="A9" s="2"/>
      <x:c r="B9" s="2"/>
      <x:c r="C9" s="2" t="str">
        <x:v>Factory receipt</x:v>
      </x:c>
      <x:c r="D9" s="58" t="n">
        <x:f>SUM(E9:AB9)</x:f>
        <x:v>5000</x:v>
      </x:c>
      <x:c r="E9" s="46" t="n">
        <x:f>IF(E$5='Assumptions'!$E$45,'Assumptions'!$E$15,0)</x:f>
        <x:v>0</x:v>
      </x:c>
      <x:c r="F9" s="46" t="n">
        <x:f>IF(F$5='Assumptions'!$E$45,'Assumptions'!$E$15,0)</x:f>
        <x:v>0</x:v>
      </x:c>
      <x:c r="G9" s="46" t="n">
        <x:f>IF(G$5='Assumptions'!$E$45,'Assumptions'!$E$15,0)</x:f>
        <x:v>0</x:v>
      </x:c>
      <x:c r="H9" s="46" t="n">
        <x:f>IF(H$5='Assumptions'!$E$45,'Assumptions'!$E$15,0)</x:f>
        <x:v>0</x:v>
      </x:c>
      <x:c r="I9" s="46" t="n">
        <x:f>IF(I$5='Assumptions'!$E$45,'Assumptions'!$E$15,0)</x:f>
        <x:v>0</x:v>
      </x:c>
      <x:c r="J9" s="46" t="n">
        <x:f>IF(J$5='Assumptions'!$E$45,'Assumptions'!$E$15,0)</x:f>
        <x:v>0</x:v>
      </x:c>
      <x:c r="K9" s="46" t="n">
        <x:f>IF(K$5='Assumptions'!$E$45,'Assumptions'!$E$15,0)</x:f>
        <x:v>0</x:v>
      </x:c>
      <x:c r="L9" s="46" t="n">
        <x:f>IF(L$5='Assumptions'!$E$45,'Assumptions'!$E$15,0)</x:f>
        <x:v>0</x:v>
      </x:c>
      <x:c r="M9" s="46" t="n">
        <x:f>IF(M$5='Assumptions'!$E$45,'Assumptions'!$E$15,0)</x:f>
        <x:v>0</x:v>
      </x:c>
      <x:c r="N9" s="46" t="n">
        <x:f>IF(N$5='Assumptions'!$E$45,'Assumptions'!$E$15,0)</x:f>
        <x:v>0</x:v>
      </x:c>
      <x:c r="O9" s="46" t="n">
        <x:f>IF(O$5='Assumptions'!$E$45,'Assumptions'!$E$15,0)</x:f>
        <x:v>0</x:v>
      </x:c>
      <x:c r="P9" s="46" t="n">
        <x:f>IF(P$5='Assumptions'!$E$45,'Assumptions'!$E$15,0)</x:f>
        <x:v>5000</x:v>
      </x:c>
      <x:c r="Q9" s="46" t="n">
        <x:f>IF(Q$5='Assumptions'!$E$45,'Assumptions'!$E$15,0)</x:f>
        <x:v>0</x:v>
      </x:c>
      <x:c r="R9" s="46" t="n">
        <x:f>IF(R$5='Assumptions'!$E$45,'Assumptions'!$E$15,0)</x:f>
        <x:v>0</x:v>
      </x:c>
      <x:c r="S9" s="46" t="n">
        <x:f>IF(S$5='Assumptions'!$E$45,'Assumptions'!$E$15,0)</x:f>
        <x:v>0</x:v>
      </x:c>
      <x:c r="T9" s="46" t="n">
        <x:f>IF(T$5='Assumptions'!$E$45,'Assumptions'!$E$15,0)</x:f>
        <x:v>0</x:v>
      </x:c>
      <x:c r="U9" s="46" t="n">
        <x:f>IF(U$5='Assumptions'!$E$45,'Assumptions'!$E$15,0)</x:f>
        <x:v>0</x:v>
      </x:c>
      <x:c r="V9" s="46" t="n">
        <x:f>IF(V$5='Assumptions'!$E$45,'Assumptions'!$E$15,0)</x:f>
        <x:v>0</x:v>
      </x:c>
      <x:c r="W9" s="46" t="n">
        <x:f>IF(W$5='Assumptions'!$E$45,'Assumptions'!$E$15,0)</x:f>
        <x:v>0</x:v>
      </x:c>
      <x:c r="X9" s="46" t="n">
        <x:f>IF(X$5='Assumptions'!$E$45,'Assumptions'!$E$15,0)</x:f>
        <x:v>0</x:v>
      </x:c>
      <x:c r="Y9" s="46" t="n">
        <x:f>IF(Y$5='Assumptions'!$E$45,'Assumptions'!$E$15,0)</x:f>
        <x:v>0</x:v>
      </x:c>
      <x:c r="Z9" s="46" t="n">
        <x:f>IF(Z$5='Assumptions'!$E$45,'Assumptions'!$E$15,0)</x:f>
        <x:v>0</x:v>
      </x:c>
      <x:c r="AA9" s="46" t="n">
        <x:f>IF(AA$5='Assumptions'!$E$45,'Assumptions'!$E$15,0)</x:f>
        <x:v>0</x:v>
      </x:c>
      <x:c r="AB9" s="46" t="n">
        <x:f>IF(AB$5='Assumptions'!$E$45,'Assumptions'!$E$15,0)</x:f>
        <x:v>0</x:v>
      </x:c>
    </x:row>
    <x:row r="10" ht="21" customHeight="1">
      <x:c r="A10" s="2"/>
      <x:c r="B10" s="2"/>
      <x:c r="C10" s="2" t="str">
        <x:v>Target unit shipments</x:v>
      </x:c>
      <x:c r="D10" s="58" t="n">
        <x:f>SUM(E10:AB10)</x:f>
        <x:v>4165</x:v>
      </x:c>
      <x:c r="E10" s="46" t="n">
        <x:f>IF(AND(E7&gt;=1,E7&lt;=13),IF(E7=13,MAX(0,ROUND('Assumptions'!$E$15*(1-'Assumptions'!$E$82)*'Assumptions'!$E$40,0)-0),ROUND('Assumptions'!$E$15*(1-'Assumptions'!$E$82)*'Assumptions'!$E$40*INDEX('Assumptions'!$E$92:$Q$92,1,E7),0)),0)</x:f>
        <x:v>0</x:v>
      </x:c>
      <x:c r="F10" s="46" t="n">
        <x:f>IF(AND(F7&gt;=1,F7&lt;=13),IF(F7=13,MAX(0,ROUND('Assumptions'!$E$15*(1-'Assumptions'!$E$82)*'Assumptions'!$E$40,0)-SUM($E$11:E11)),ROUND('Assumptions'!$E$15*(1-'Assumptions'!$E$82)*'Assumptions'!$E$40*INDEX('Assumptions'!$E$92:$Q$92,1,F7),0)),0)</x:f>
        <x:v>0</x:v>
      </x:c>
      <x:c r="G10" s="46" t="n">
        <x:f>IF(AND(G7&gt;=1,G7&lt;=13),IF(G7=13,MAX(0,ROUND('Assumptions'!$E$15*(1-'Assumptions'!$E$82)*'Assumptions'!$E$40,0)-SUM($E$11:F11)),ROUND('Assumptions'!$E$15*(1-'Assumptions'!$E$82)*'Assumptions'!$E$40*INDEX('Assumptions'!$E$92:$Q$92,1,G7),0)),0)</x:f>
        <x:v>0</x:v>
      </x:c>
      <x:c r="H10" s="46" t="n">
        <x:f>IF(AND(H7&gt;=1,H7&lt;=13),IF(H7=13,MAX(0,ROUND('Assumptions'!$E$15*(1-'Assumptions'!$E$82)*'Assumptions'!$E$40,0)-SUM($E$11:G11)),ROUND('Assumptions'!$E$15*(1-'Assumptions'!$E$82)*'Assumptions'!$E$40*INDEX('Assumptions'!$E$92:$Q$92,1,H7),0)),0)</x:f>
        <x:v>0</x:v>
      </x:c>
      <x:c r="I10" s="46" t="n">
        <x:f>IF(AND(I7&gt;=1,I7&lt;=13),IF(I7=13,MAX(0,ROUND('Assumptions'!$E$15*(1-'Assumptions'!$E$82)*'Assumptions'!$E$40,0)-SUM($E$11:H11)),ROUND('Assumptions'!$E$15*(1-'Assumptions'!$E$82)*'Assumptions'!$E$40*INDEX('Assumptions'!$E$92:$Q$92,1,I7),0)),0)</x:f>
        <x:v>0</x:v>
      </x:c>
      <x:c r="J10" s="46" t="n">
        <x:f>IF(AND(J7&gt;=1,J7&lt;=13),IF(J7=13,MAX(0,ROUND('Assumptions'!$E$15*(1-'Assumptions'!$E$82)*'Assumptions'!$E$40,0)-SUM($E$11:I11)),ROUND('Assumptions'!$E$15*(1-'Assumptions'!$E$82)*'Assumptions'!$E$40*INDEX('Assumptions'!$E$92:$Q$92,1,J7),0)),0)</x:f>
        <x:v>0</x:v>
      </x:c>
      <x:c r="K10" s="46" t="n">
        <x:f>IF(AND(K7&gt;=1,K7&lt;=13),IF(K7=13,MAX(0,ROUND('Assumptions'!$E$15*(1-'Assumptions'!$E$82)*'Assumptions'!$E$40,0)-SUM($E$11:J11)),ROUND('Assumptions'!$E$15*(1-'Assumptions'!$E$82)*'Assumptions'!$E$40*INDEX('Assumptions'!$E$92:$Q$92,1,K7),0)),0)</x:f>
        <x:v>0</x:v>
      </x:c>
      <x:c r="L10" s="46" t="n">
        <x:f>IF(AND(L7&gt;=1,L7&lt;=13),IF(L7=13,MAX(0,ROUND('Assumptions'!$E$15*(1-'Assumptions'!$E$82)*'Assumptions'!$E$40,0)-SUM($E$11:K11)),ROUND('Assumptions'!$E$15*(1-'Assumptions'!$E$82)*'Assumptions'!$E$40*INDEX('Assumptions'!$E$92:$Q$92,1,L7),0)),0)</x:f>
        <x:v>0</x:v>
      </x:c>
      <x:c r="M10" s="46" t="n">
        <x:f>IF(AND(M7&gt;=1,M7&lt;=13),IF(M7=13,MAX(0,ROUND('Assumptions'!$E$15*(1-'Assumptions'!$E$82)*'Assumptions'!$E$40,0)-SUM($E$11:L11)),ROUND('Assumptions'!$E$15*(1-'Assumptions'!$E$82)*'Assumptions'!$E$40*INDEX('Assumptions'!$E$92:$Q$92,1,M7),0)),0)</x:f>
        <x:v>0</x:v>
      </x:c>
      <x:c r="N10" s="46" t="n">
        <x:f>IF(AND(N7&gt;=1,N7&lt;=13),IF(N7=13,MAX(0,ROUND('Assumptions'!$E$15*(1-'Assumptions'!$E$82)*'Assumptions'!$E$40,0)-SUM($E$11:M11)),ROUND('Assumptions'!$E$15*(1-'Assumptions'!$E$82)*'Assumptions'!$E$40*INDEX('Assumptions'!$E$92:$Q$92,1,N7),0)),0)</x:f>
        <x:v>0</x:v>
      </x:c>
      <x:c r="O10" s="46" t="n">
        <x:f>IF(AND(O7&gt;=1,O7&lt;=13),IF(O7=13,MAX(0,ROUND('Assumptions'!$E$15*(1-'Assumptions'!$E$82)*'Assumptions'!$E$40,0)-SUM($E$11:N11)),ROUND('Assumptions'!$E$15*(1-'Assumptions'!$E$82)*'Assumptions'!$E$40*INDEX('Assumptions'!$E$92:$Q$92,1,O7),0)),0)</x:f>
        <x:v>0</x:v>
      </x:c>
      <x:c r="P10" s="46" t="n">
        <x:f>IF(AND(P7&gt;=1,P7&lt;=13),IF(P7=13,MAX(0,ROUND('Assumptions'!$E$15*(1-'Assumptions'!$E$82)*'Assumptions'!$E$40,0)-SUM($E$11:O11)),ROUND('Assumptions'!$E$15*(1-'Assumptions'!$E$82)*'Assumptions'!$E$40*INDEX('Assumptions'!$E$92:$Q$92,1,P7),0)),0)</x:f>
        <x:v>208</x:v>
      </x:c>
      <x:c r="Q10" s="46" t="n">
        <x:f>IF(AND(Q7&gt;=1,Q7&lt;=13),IF(Q7=13,MAX(0,ROUND('Assumptions'!$E$15*(1-'Assumptions'!$E$82)*'Assumptions'!$E$40,0)-SUM($E$11:P11)),ROUND('Assumptions'!$E$15*(1-'Assumptions'!$E$82)*'Assumptions'!$E$40*INDEX('Assumptions'!$E$92:$Q$92,1,Q7),0)),0)</x:f>
        <x:v>292</x:v>
      </x:c>
      <x:c r="R10" s="46" t="n">
        <x:f>IF(AND(R7&gt;=1,R7&lt;=13),IF(R7=13,MAX(0,ROUND('Assumptions'!$E$15*(1-'Assumptions'!$E$82)*'Assumptions'!$E$40,0)-SUM($E$11:Q11)),ROUND('Assumptions'!$E$15*(1-'Assumptions'!$E$82)*'Assumptions'!$E$40*INDEX('Assumptions'!$E$92:$Q$92,1,R7),0)),0)</x:f>
        <x:v>333</x:v>
      </x:c>
      <x:c r="S10" s="46" t="n">
        <x:f>IF(AND(S7&gt;=1,S7&lt;=13),IF(S7=13,MAX(0,ROUND('Assumptions'!$E$15*(1-'Assumptions'!$E$82)*'Assumptions'!$E$40,0)-SUM($E$11:R11)),ROUND('Assumptions'!$E$15*(1-'Assumptions'!$E$82)*'Assumptions'!$E$40*INDEX('Assumptions'!$E$92:$Q$92,1,S7),0)),0)</x:f>
        <x:v>333</x:v>
      </x:c>
      <x:c r="T10" s="46" t="n">
        <x:f>IF(AND(T7&gt;=1,T7&lt;=13),IF(T7=13,MAX(0,ROUND('Assumptions'!$E$15*(1-'Assumptions'!$E$82)*'Assumptions'!$E$40,0)-SUM($E$11:S11)),ROUND('Assumptions'!$E$15*(1-'Assumptions'!$E$82)*'Assumptions'!$E$40*INDEX('Assumptions'!$E$92:$Q$92,1,T7),0)),0)</x:f>
        <x:v>333</x:v>
      </x:c>
      <x:c r="U10" s="46" t="n">
        <x:f>IF(AND(U7&gt;=1,U7&lt;=13),IF(U7=13,MAX(0,ROUND('Assumptions'!$E$15*(1-'Assumptions'!$E$82)*'Assumptions'!$E$40,0)-SUM($E$11:T11)),ROUND('Assumptions'!$E$15*(1-'Assumptions'!$E$82)*'Assumptions'!$E$40*INDEX('Assumptions'!$E$92:$Q$92,1,U7),0)),0)</x:f>
        <x:v>333</x:v>
      </x:c>
      <x:c r="V10" s="46" t="n">
        <x:f>IF(AND(V7&gt;=1,V7&lt;=13),IF(V7=13,MAX(0,ROUND('Assumptions'!$E$15*(1-'Assumptions'!$E$82)*'Assumptions'!$E$40,0)-SUM($E$11:U11)),ROUND('Assumptions'!$E$15*(1-'Assumptions'!$E$82)*'Assumptions'!$E$40*INDEX('Assumptions'!$E$92:$Q$92,1,V7),0)),0)</x:f>
        <x:v>333</x:v>
      </x:c>
      <x:c r="W10" s="46" t="n">
        <x:f>IF(AND(W7&gt;=1,W7&lt;=13),IF(W7=13,MAX(0,ROUND('Assumptions'!$E$15*(1-'Assumptions'!$E$82)*'Assumptions'!$E$40,0)-SUM($E$11:V11)),ROUND('Assumptions'!$E$15*(1-'Assumptions'!$E$82)*'Assumptions'!$E$40*INDEX('Assumptions'!$E$92:$Q$92,1,W7),0)),0)</x:f>
        <x:v>333</x:v>
      </x:c>
      <x:c r="X10" s="46" t="n">
        <x:f>IF(AND(X7&gt;=1,X7&lt;=13),IF(X7=13,MAX(0,ROUND('Assumptions'!$E$15*(1-'Assumptions'!$E$82)*'Assumptions'!$E$40,0)-SUM($E$11:W11)),ROUND('Assumptions'!$E$15*(1-'Assumptions'!$E$82)*'Assumptions'!$E$40*INDEX('Assumptions'!$E$92:$Q$92,1,X7),0)),0)</x:f>
        <x:v>333</x:v>
      </x:c>
      <x:c r="Y10" s="46" t="n">
        <x:f>IF(AND(Y7&gt;=1,Y7&lt;=13),IF(Y7=13,MAX(0,ROUND('Assumptions'!$E$15*(1-'Assumptions'!$E$82)*'Assumptions'!$E$40,0)-SUM($E$11:X11)),ROUND('Assumptions'!$E$15*(1-'Assumptions'!$E$82)*'Assumptions'!$E$40*INDEX('Assumptions'!$E$92:$Q$92,1,Y7),0)),0)</x:f>
        <x:v>333</x:v>
      </x:c>
      <x:c r="Z10" s="46" t="n">
        <x:f>IF(AND(Z7&gt;=1,Z7&lt;=13),IF(Z7=13,MAX(0,ROUND('Assumptions'!$E$15*(1-'Assumptions'!$E$82)*'Assumptions'!$E$40,0)-SUM($E$11:Y11)),ROUND('Assumptions'!$E$15*(1-'Assumptions'!$E$82)*'Assumptions'!$E$40*INDEX('Assumptions'!$E$92:$Q$92,1,Z7),0)),0)</x:f>
        <x:v>333</x:v>
      </x:c>
      <x:c r="AA10" s="46" t="n">
        <x:f>IF(AND(AA7&gt;=1,AA7&lt;=13),IF(AA7=13,MAX(0,ROUND('Assumptions'!$E$15*(1-'Assumptions'!$E$82)*'Assumptions'!$E$40,0)-SUM($E$11:Z11)),ROUND('Assumptions'!$E$15*(1-'Assumptions'!$E$82)*'Assumptions'!$E$40*INDEX('Assumptions'!$E$92:$Q$92,1,AA7),0)),0)</x:f>
        <x:v>333</x:v>
      </x:c>
      <x:c r="AB10" s="46" t="n">
        <x:f>IF(AND(AB7&gt;=1,AB7&lt;=13),IF(AB7=13,MAX(0,ROUND('Assumptions'!$E$15*(1-'Assumptions'!$E$82)*'Assumptions'!$E$40,0)-SUM($E$11:AA11)),ROUND('Assumptions'!$E$15*(1-'Assumptions'!$E$82)*'Assumptions'!$E$40*INDEX('Assumptions'!$E$92:$Q$92,1,AB7),0)),0)</x:f>
        <x:v>335</x:v>
      </x:c>
    </x:row>
    <x:row r="11" ht="21" customHeight="1">
      <x:c r="A11" s="2"/>
      <x:c r="B11" s="2"/>
      <x:c r="C11" s="2" t="str">
        <x:v>Actual unit shipments</x:v>
      </x:c>
      <x:c r="D11" s="58" t="n">
        <x:f>SUM(E11:AB11)</x:f>
        <x:v>4165</x:v>
      </x:c>
      <x:c r="E11" s="46" t="n">
        <x:f>MIN(MAX(0,E8+E9-ROUND('Assumptions'!$E$15*'Assumptions'!$E$82,0)),E10)</x:f>
        <x:v>0</x:v>
      </x:c>
      <x:c r="F11" s="46" t="n">
        <x:f>MIN(MAX(0,F8+F9-ROUND('Assumptions'!$E$15*'Assumptions'!$E$82,0)),F10)</x:f>
        <x:v>0</x:v>
      </x:c>
      <x:c r="G11" s="46" t="n">
        <x:f>MIN(MAX(0,G8+G9-ROUND('Assumptions'!$E$15*'Assumptions'!$E$82,0)),G10)</x:f>
        <x:v>0</x:v>
      </x:c>
      <x:c r="H11" s="46" t="n">
        <x:f>MIN(MAX(0,H8+H9-ROUND('Assumptions'!$E$15*'Assumptions'!$E$82,0)),H10)</x:f>
        <x:v>0</x:v>
      </x:c>
      <x:c r="I11" s="46" t="n">
        <x:f>MIN(MAX(0,I8+I9-ROUND('Assumptions'!$E$15*'Assumptions'!$E$82,0)),I10)</x:f>
        <x:v>0</x:v>
      </x:c>
      <x:c r="J11" s="46" t="n">
        <x:f>MIN(MAX(0,J8+J9-ROUND('Assumptions'!$E$15*'Assumptions'!$E$82,0)),J10)</x:f>
        <x:v>0</x:v>
      </x:c>
      <x:c r="K11" s="46" t="n">
        <x:f>MIN(MAX(0,K8+K9-ROUND('Assumptions'!$E$15*'Assumptions'!$E$82,0)),K10)</x:f>
        <x:v>0</x:v>
      </x:c>
      <x:c r="L11" s="46" t="n">
        <x:f>MIN(MAX(0,L8+L9-ROUND('Assumptions'!$E$15*'Assumptions'!$E$82,0)),L10)</x:f>
        <x:v>0</x:v>
      </x:c>
      <x:c r="M11" s="46" t="n">
        <x:f>MIN(MAX(0,M8+M9-ROUND('Assumptions'!$E$15*'Assumptions'!$E$82,0)),M10)</x:f>
        <x:v>0</x:v>
      </x:c>
      <x:c r="N11" s="46" t="n">
        <x:f>MIN(MAX(0,N8+N9-ROUND('Assumptions'!$E$15*'Assumptions'!$E$82,0)),N10)</x:f>
        <x:v>0</x:v>
      </x:c>
      <x:c r="O11" s="46" t="n">
        <x:f>MIN(MAX(0,O8+O9-ROUND('Assumptions'!$E$15*'Assumptions'!$E$82,0)),O10)</x:f>
        <x:v>0</x:v>
      </x:c>
      <x:c r="P11" s="46" t="n">
        <x:f>MIN(MAX(0,P8+P9-ROUND('Assumptions'!$E$15*'Assumptions'!$E$82,0)),P10)</x:f>
        <x:v>208</x:v>
      </x:c>
      <x:c r="Q11" s="46" t="n">
        <x:f>MIN(MAX(0,Q8+Q9-ROUND('Assumptions'!$E$15*'Assumptions'!$E$82,0)),Q10)</x:f>
        <x:v>292</x:v>
      </x:c>
      <x:c r="R11" s="46" t="n">
        <x:f>MIN(MAX(0,R8+R9-ROUND('Assumptions'!$E$15*'Assumptions'!$E$82,0)),R10)</x:f>
        <x:v>333</x:v>
      </x:c>
      <x:c r="S11" s="46" t="n">
        <x:f>MIN(MAX(0,S8+S9-ROUND('Assumptions'!$E$15*'Assumptions'!$E$82,0)),S10)</x:f>
        <x:v>333</x:v>
      </x:c>
      <x:c r="T11" s="46" t="n">
        <x:f>MIN(MAX(0,T8+T9-ROUND('Assumptions'!$E$15*'Assumptions'!$E$82,0)),T10)</x:f>
        <x:v>333</x:v>
      </x:c>
      <x:c r="U11" s="46" t="n">
        <x:f>MIN(MAX(0,U8+U9-ROUND('Assumptions'!$E$15*'Assumptions'!$E$82,0)),U10)</x:f>
        <x:v>333</x:v>
      </x:c>
      <x:c r="V11" s="46" t="n">
        <x:f>MIN(MAX(0,V8+V9-ROUND('Assumptions'!$E$15*'Assumptions'!$E$82,0)),V10)</x:f>
        <x:v>333</x:v>
      </x:c>
      <x:c r="W11" s="46" t="n">
        <x:f>MIN(MAX(0,W8+W9-ROUND('Assumptions'!$E$15*'Assumptions'!$E$82,0)),W10)</x:f>
        <x:v>333</x:v>
      </x:c>
      <x:c r="X11" s="46" t="n">
        <x:f>MIN(MAX(0,X8+X9-ROUND('Assumptions'!$E$15*'Assumptions'!$E$82,0)),X10)</x:f>
        <x:v>333</x:v>
      </x:c>
      <x:c r="Y11" s="46" t="n">
        <x:f>MIN(MAX(0,Y8+Y9-ROUND('Assumptions'!$E$15*'Assumptions'!$E$82,0)),Y10)</x:f>
        <x:v>333</x:v>
      </x:c>
      <x:c r="Z11" s="46" t="n">
        <x:f>MIN(MAX(0,Z8+Z9-ROUND('Assumptions'!$E$15*'Assumptions'!$E$82,0)),Z10)</x:f>
        <x:v>333</x:v>
      </x:c>
      <x:c r="AA11" s="46" t="n">
        <x:f>MIN(MAX(0,AA8+AA9-ROUND('Assumptions'!$E$15*'Assumptions'!$E$82,0)),AA10)</x:f>
        <x:v>333</x:v>
      </x:c>
      <x:c r="AB11" s="46" t="n">
        <x:f>MIN(MAX(0,AB8+AB9-ROUND('Assumptions'!$E$15*'Assumptions'!$E$82,0)),AB10)</x:f>
        <x:v>335</x:v>
      </x:c>
    </x:row>
    <x:row r="12" ht="21" customHeight="1">
      <x:c r="A12" s="2"/>
      <x:c r="B12" s="2"/>
      <x:c r="C12" s="2" t="str">
        <x:v>DTC units</x:v>
      </x:c>
      <x:c r="D12" s="58" t="n">
        <x:f>SUM(E12:AB12)</x:f>
        <x:v>2914</x:v>
      </x:c>
      <x:c r="E12" s="46" t="n">
        <x:f>ROUND(E11*'Assumptions'!$E$50,0)</x:f>
        <x:v>0</x:v>
      </x:c>
      <x:c r="F12" s="46" t="n">
        <x:f>ROUND(F11*'Assumptions'!$E$50,0)</x:f>
        <x:v>0</x:v>
      </x:c>
      <x:c r="G12" s="46" t="n">
        <x:f>ROUND(G11*'Assumptions'!$E$50,0)</x:f>
        <x:v>0</x:v>
      </x:c>
      <x:c r="H12" s="46" t="n">
        <x:f>ROUND(H11*'Assumptions'!$E$50,0)</x:f>
        <x:v>0</x:v>
      </x:c>
      <x:c r="I12" s="46" t="n">
        <x:f>ROUND(I11*'Assumptions'!$E$50,0)</x:f>
        <x:v>0</x:v>
      </x:c>
      <x:c r="J12" s="46" t="n">
        <x:f>ROUND(J11*'Assumptions'!$E$50,0)</x:f>
        <x:v>0</x:v>
      </x:c>
      <x:c r="K12" s="46" t="n">
        <x:f>ROUND(K11*'Assumptions'!$E$50,0)</x:f>
        <x:v>0</x:v>
      </x:c>
      <x:c r="L12" s="46" t="n">
        <x:f>ROUND(L11*'Assumptions'!$E$50,0)</x:f>
        <x:v>0</x:v>
      </x:c>
      <x:c r="M12" s="46" t="n">
        <x:f>ROUND(M11*'Assumptions'!$E$50,0)</x:f>
        <x:v>0</x:v>
      </x:c>
      <x:c r="N12" s="46" t="n">
        <x:f>ROUND(N11*'Assumptions'!$E$50,0)</x:f>
        <x:v>0</x:v>
      </x:c>
      <x:c r="O12" s="46" t="n">
        <x:f>ROUND(O11*'Assumptions'!$E$50,0)</x:f>
        <x:v>0</x:v>
      </x:c>
      <x:c r="P12" s="46" t="n">
        <x:f>ROUND(P11*'Assumptions'!$E$50,0)</x:f>
        <x:v>146</x:v>
      </x:c>
      <x:c r="Q12" s="46" t="n">
        <x:f>ROUND(Q11*'Assumptions'!$E$50,0)</x:f>
        <x:v>204</x:v>
      </x:c>
      <x:c r="R12" s="46" t="n">
        <x:f>ROUND(R11*'Assumptions'!$E$50,0)</x:f>
        <x:v>233</x:v>
      </x:c>
      <x:c r="S12" s="46" t="n">
        <x:f>ROUND(S11*'Assumptions'!$E$50,0)</x:f>
        <x:v>233</x:v>
      </x:c>
      <x:c r="T12" s="46" t="n">
        <x:f>ROUND(T11*'Assumptions'!$E$50,0)</x:f>
        <x:v>233</x:v>
      </x:c>
      <x:c r="U12" s="46" t="n">
        <x:f>ROUND(U11*'Assumptions'!$E$50,0)</x:f>
        <x:v>233</x:v>
      </x:c>
      <x:c r="V12" s="46" t="n">
        <x:f>ROUND(V11*'Assumptions'!$E$50,0)</x:f>
        <x:v>233</x:v>
      </x:c>
      <x:c r="W12" s="46" t="n">
        <x:f>ROUND(W11*'Assumptions'!$E$50,0)</x:f>
        <x:v>233</x:v>
      </x:c>
      <x:c r="X12" s="46" t="n">
        <x:f>ROUND(X11*'Assumptions'!$E$50,0)</x:f>
        <x:v>233</x:v>
      </x:c>
      <x:c r="Y12" s="46" t="n">
        <x:f>ROUND(Y11*'Assumptions'!$E$50,0)</x:f>
        <x:v>233</x:v>
      </x:c>
      <x:c r="Z12" s="46" t="n">
        <x:f>ROUND(Z11*'Assumptions'!$E$50,0)</x:f>
        <x:v>233</x:v>
      </x:c>
      <x:c r="AA12" s="46" t="n">
        <x:f>ROUND(AA11*'Assumptions'!$E$50,0)</x:f>
        <x:v>233</x:v>
      </x:c>
      <x:c r="AB12" s="46" t="n">
        <x:f>ROUND(AB11*'Assumptions'!$E$50,0)</x:f>
        <x:v>234</x:v>
      </x:c>
    </x:row>
    <x:row r="13" ht="21" customHeight="1">
      <x:c r="A13" s="2"/>
      <x:c r="B13" s="2"/>
      <x:c r="C13" s="2" t="str">
        <x:v>Wholesale units</x:v>
      </x:c>
      <x:c r="D13" s="58" t="n">
        <x:f>SUM(E13:AB13)</x:f>
        <x:v>1251</x:v>
      </x:c>
      <x:c r="E13" s="50" t="n">
        <x:f>E11-E12</x:f>
        <x:v>0</x:v>
      </x:c>
      <x:c r="F13" s="50" t="n">
        <x:f>F11-F12</x:f>
        <x:v>0</x:v>
      </x:c>
      <x:c r="G13" s="50" t="n">
        <x:f>G11-G12</x:f>
        <x:v>0</x:v>
      </x:c>
      <x:c r="H13" s="50" t="n">
        <x:f>H11-H12</x:f>
        <x:v>0</x:v>
      </x:c>
      <x:c r="I13" s="50" t="n">
        <x:f>I11-I12</x:f>
        <x:v>0</x:v>
      </x:c>
      <x:c r="J13" s="50" t="n">
        <x:f>J11-J12</x:f>
        <x:v>0</x:v>
      </x:c>
      <x:c r="K13" s="50" t="n">
        <x:f>K11-K12</x:f>
        <x:v>0</x:v>
      </x:c>
      <x:c r="L13" s="50" t="n">
        <x:f>L11-L12</x:f>
        <x:v>0</x:v>
      </x:c>
      <x:c r="M13" s="50" t="n">
        <x:f>M11-M12</x:f>
        <x:v>0</x:v>
      </x:c>
      <x:c r="N13" s="50" t="n">
        <x:f>N11-N12</x:f>
        <x:v>0</x:v>
      </x:c>
      <x:c r="O13" s="50" t="n">
        <x:f>O11-O12</x:f>
        <x:v>0</x:v>
      </x:c>
      <x:c r="P13" s="50" t="n">
        <x:f>P11-P12</x:f>
        <x:v>62</x:v>
      </x:c>
      <x:c r="Q13" s="50" t="n">
        <x:f>Q11-Q12</x:f>
        <x:v>88</x:v>
      </x:c>
      <x:c r="R13" s="50" t="n">
        <x:f>R11-R12</x:f>
        <x:v>100</x:v>
      </x:c>
      <x:c r="S13" s="50" t="n">
        <x:f>S11-S12</x:f>
        <x:v>100</x:v>
      </x:c>
      <x:c r="T13" s="50" t="n">
        <x:f>T11-T12</x:f>
        <x:v>100</x:v>
      </x:c>
      <x:c r="U13" s="50" t="n">
        <x:f>U11-U12</x:f>
        <x:v>100</x:v>
      </x:c>
      <x:c r="V13" s="50" t="n">
        <x:f>V11-V12</x:f>
        <x:v>100</x:v>
      </x:c>
      <x:c r="W13" s="50" t="n">
        <x:f>W11-W12</x:f>
        <x:v>100</x:v>
      </x:c>
      <x:c r="X13" s="50" t="n">
        <x:f>X11-X12</x:f>
        <x:v>100</x:v>
      </x:c>
      <x:c r="Y13" s="50" t="n">
        <x:f>Y11-Y12</x:f>
        <x:v>100</x:v>
      </x:c>
      <x:c r="Z13" s="50" t="n">
        <x:f>Z11-Z12</x:f>
        <x:v>100</x:v>
      </x:c>
      <x:c r="AA13" s="50" t="n">
        <x:f>AA11-AA12</x:f>
        <x:v>100</x:v>
      </x:c>
      <x:c r="AB13" s="50" t="n">
        <x:f>AB11-AB12</x:f>
        <x:v>101</x:v>
      </x:c>
    </x:row>
    <x:row r="14" ht="24" customHeight="1">
      <x:c r="A14" s="2"/>
      <x:c r="B14" s="2"/>
      <x:c r="C14" s="28" t="str">
        <x:v>Ending finished inventory</x:v>
      </x:c>
      <x:c r="D14" s="59" t="n">
        <x:f>AB14</x:f>
        <x:v>835</x:v>
      </x:c>
      <x:c r="E14" s="57" t="n">
        <x:f>E8+E9-E11</x:f>
        <x:v>0</x:v>
      </x:c>
      <x:c r="F14" s="57" t="n">
        <x:f>F8+F9-F11</x:f>
        <x:v>0</x:v>
      </x:c>
      <x:c r="G14" s="57" t="n">
        <x:f>G8+G9-G11</x:f>
        <x:v>0</x:v>
      </x:c>
      <x:c r="H14" s="57" t="n">
        <x:f>H8+H9-H11</x:f>
        <x:v>0</x:v>
      </x:c>
      <x:c r="I14" s="57" t="n">
        <x:f>I8+I9-I11</x:f>
        <x:v>0</x:v>
      </x:c>
      <x:c r="J14" s="57" t="n">
        <x:f>J8+J9-J11</x:f>
        <x:v>0</x:v>
      </x:c>
      <x:c r="K14" s="57" t="n">
        <x:f>K8+K9-K11</x:f>
        <x:v>0</x:v>
      </x:c>
      <x:c r="L14" s="57" t="n">
        <x:f>L8+L9-L11</x:f>
        <x:v>0</x:v>
      </x:c>
      <x:c r="M14" s="57" t="n">
        <x:f>M8+M9-M11</x:f>
        <x:v>0</x:v>
      </x:c>
      <x:c r="N14" s="57" t="n">
        <x:f>N8+N9-N11</x:f>
        <x:v>0</x:v>
      </x:c>
      <x:c r="O14" s="57" t="n">
        <x:f>O8+O9-O11</x:f>
        <x:v>0</x:v>
      </x:c>
      <x:c r="P14" s="57" t="n">
        <x:f>P8+P9-P11</x:f>
        <x:v>4792</x:v>
      </x:c>
      <x:c r="Q14" s="57" t="n">
        <x:f>Q8+Q9-Q11</x:f>
        <x:v>4500</x:v>
      </x:c>
      <x:c r="R14" s="57" t="n">
        <x:f>R8+R9-R11</x:f>
        <x:v>4167</x:v>
      </x:c>
      <x:c r="S14" s="57" t="n">
        <x:f>S8+S9-S11</x:f>
        <x:v>3834</x:v>
      </x:c>
      <x:c r="T14" s="57" t="n">
        <x:f>T8+T9-T11</x:f>
        <x:v>3501</x:v>
      </x:c>
      <x:c r="U14" s="57" t="n">
        <x:f>U8+U9-U11</x:f>
        <x:v>3168</x:v>
      </x:c>
      <x:c r="V14" s="57" t="n">
        <x:f>V8+V9-V11</x:f>
        <x:v>2835</x:v>
      </x:c>
      <x:c r="W14" s="57" t="n">
        <x:f>W8+W9-W11</x:f>
        <x:v>2502</x:v>
      </x:c>
      <x:c r="X14" s="57" t="n">
        <x:f>X8+X9-X11</x:f>
        <x:v>2169</x:v>
      </x:c>
      <x:c r="Y14" s="57" t="n">
        <x:f>Y8+Y9-Y11</x:f>
        <x:v>1836</x:v>
      </x:c>
      <x:c r="Z14" s="57" t="n">
        <x:f>Z8+Z9-Z11</x:f>
        <x:v>1503</x:v>
      </x:c>
      <x:c r="AA14" s="57" t="n">
        <x:f>AA8+AA9-AA11</x:f>
        <x:v>1170</x:v>
      </x:c>
      <x:c r="AB14" s="57" t="n">
        <x:f>AB8+AB9-AB11</x:f>
        <x:v>835</x:v>
      </x:c>
    </x:row>
    <x:row r="15" ht="21" customHeight="1">
      <x:c r="A15" s="2"/>
      <x:c r="B15" s="2"/>
      <x:c r="C15" s="2"/>
      <x:c r="D15" s="60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  <x:c r="S15" s="34"/>
      <x:c r="T15" s="34"/>
      <x:c r="U15" s="34"/>
      <x:c r="V15" s="34"/>
      <x:c r="W15" s="34"/>
      <x:c r="X15" s="34"/>
      <x:c r="Y15" s="34"/>
      <x:c r="Z15" s="34"/>
      <x:c r="AA15" s="34"/>
      <x:c r="AB15" s="34"/>
    </x:row>
    <x:row r="16" ht="21" customHeight="1">
      <x:c r="A16" s="2"/>
      <x:c r="B16" s="2"/>
      <x:c r="C16" s="2" t="str">
        <x:v>DTC merchandise revenue</x:v>
      </x:c>
      <x:c r="D16" s="60" t="n">
        <x:f>SUM(E16:AB16)</x:f>
        <x:v>521897.3999999999</x:v>
      </x:c>
      <x:c r="E16" s="32" t="n">
        <x:f>E12*'Unit economics'!$E$10</x:f>
        <x:v>0</x:v>
      </x:c>
      <x:c r="F16" s="32" t="n">
        <x:f>F12*'Unit economics'!$E$10</x:f>
        <x:v>0</x:v>
      </x:c>
      <x:c r="G16" s="32" t="n">
        <x:f>G12*'Unit economics'!$E$10</x:f>
        <x:v>0</x:v>
      </x:c>
      <x:c r="H16" s="32" t="n">
        <x:f>H12*'Unit economics'!$E$10</x:f>
        <x:v>0</x:v>
      </x:c>
      <x:c r="I16" s="32" t="n">
        <x:f>I12*'Unit economics'!$E$10</x:f>
        <x:v>0</x:v>
      </x:c>
      <x:c r="J16" s="32" t="n">
        <x:f>J12*'Unit economics'!$E$10</x:f>
        <x:v>0</x:v>
      </x:c>
      <x:c r="K16" s="32" t="n">
        <x:f>K12*'Unit economics'!$E$10</x:f>
        <x:v>0</x:v>
      </x:c>
      <x:c r="L16" s="32" t="n">
        <x:f>L12*'Unit economics'!$E$10</x:f>
        <x:v>0</x:v>
      </x:c>
      <x:c r="M16" s="32" t="n">
        <x:f>M12*'Unit economics'!$E$10</x:f>
        <x:v>0</x:v>
      </x:c>
      <x:c r="N16" s="32" t="n">
        <x:f>N12*'Unit economics'!$E$10</x:f>
        <x:v>0</x:v>
      </x:c>
      <x:c r="O16" s="32" t="n">
        <x:f>O12*'Unit economics'!$E$10</x:f>
        <x:v>0</x:v>
      </x:c>
      <x:c r="P16" s="32" t="n">
        <x:f>P12*'Unit economics'!$E$10</x:f>
        <x:v>26148.6</x:v>
      </x:c>
      <x:c r="Q16" s="32" t="n">
        <x:f>Q12*'Unit economics'!$E$10</x:f>
        <x:v>36536.4</x:v>
      </x:c>
      <x:c r="R16" s="32" t="n">
        <x:f>R12*'Unit economics'!$E$10</x:f>
        <x:v>41730.299999999996</x:v>
      </x:c>
      <x:c r="S16" s="32" t="n">
        <x:f>S12*'Unit economics'!$E$10</x:f>
        <x:v>41730.299999999996</x:v>
      </x:c>
      <x:c r="T16" s="32" t="n">
        <x:f>T12*'Unit economics'!$E$10</x:f>
        <x:v>41730.299999999996</x:v>
      </x:c>
      <x:c r="U16" s="32" t="n">
        <x:f>U12*'Unit economics'!$E$10</x:f>
        <x:v>41730.299999999996</x:v>
      </x:c>
      <x:c r="V16" s="32" t="n">
        <x:f>V12*'Unit economics'!$E$10</x:f>
        <x:v>41730.299999999996</x:v>
      </x:c>
      <x:c r="W16" s="32" t="n">
        <x:f>W12*'Unit economics'!$E$10</x:f>
        <x:v>41730.299999999996</x:v>
      </x:c>
      <x:c r="X16" s="32" t="n">
        <x:f>X12*'Unit economics'!$E$10</x:f>
        <x:v>41730.299999999996</x:v>
      </x:c>
      <x:c r="Y16" s="32" t="n">
        <x:f>Y12*'Unit economics'!$E$10</x:f>
        <x:v>41730.299999999996</x:v>
      </x:c>
      <x:c r="Z16" s="32" t="n">
        <x:f>Z12*'Unit economics'!$E$10</x:f>
        <x:v>41730.299999999996</x:v>
      </x:c>
      <x:c r="AA16" s="32" t="n">
        <x:f>AA12*'Unit economics'!$E$10</x:f>
        <x:v>41730.299999999996</x:v>
      </x:c>
      <x:c r="AB16" s="32" t="n">
        <x:f>AB12*'Unit economics'!$E$10</x:f>
        <x:v>41909.4</x:v>
      </x:c>
    </x:row>
    <x:row r="17" ht="21" customHeight="1">
      <x:c r="A17" s="2"/>
      <x:c r="B17" s="2"/>
      <x:c r="C17" s="2" t="str">
        <x:v>Wholesale merchandise revenue</x:v>
      </x:c>
      <x:c r="D17" s="60" t="n">
        <x:f>SUM(E17:AB17)</x:f>
        <x:v>124474.5</x:v>
      </x:c>
      <x:c r="E17" s="32" t="n">
        <x:f>E13*'Unit economics'!$G$10</x:f>
        <x:v>0</x:v>
      </x:c>
      <x:c r="F17" s="32" t="n">
        <x:f>F13*'Unit economics'!$G$10</x:f>
        <x:v>0</x:v>
      </x:c>
      <x:c r="G17" s="32" t="n">
        <x:f>G13*'Unit economics'!$G$10</x:f>
        <x:v>0</x:v>
      </x:c>
      <x:c r="H17" s="32" t="n">
        <x:f>H13*'Unit economics'!$G$10</x:f>
        <x:v>0</x:v>
      </x:c>
      <x:c r="I17" s="32" t="n">
        <x:f>I13*'Unit economics'!$G$10</x:f>
        <x:v>0</x:v>
      </x:c>
      <x:c r="J17" s="32" t="n">
        <x:f>J13*'Unit economics'!$G$10</x:f>
        <x:v>0</x:v>
      </x:c>
      <x:c r="K17" s="32" t="n">
        <x:f>K13*'Unit economics'!$G$10</x:f>
        <x:v>0</x:v>
      </x:c>
      <x:c r="L17" s="32" t="n">
        <x:f>L13*'Unit economics'!$G$10</x:f>
        <x:v>0</x:v>
      </x:c>
      <x:c r="M17" s="32" t="n">
        <x:f>M13*'Unit economics'!$G$10</x:f>
        <x:v>0</x:v>
      </x:c>
      <x:c r="N17" s="32" t="n">
        <x:f>N13*'Unit economics'!$G$10</x:f>
        <x:v>0</x:v>
      </x:c>
      <x:c r="O17" s="32" t="n">
        <x:f>O13*'Unit economics'!$G$10</x:f>
        <x:v>0</x:v>
      </x:c>
      <x:c r="P17" s="32" t="n">
        <x:f>P13*'Unit economics'!$G$10</x:f>
        <x:v>6169</x:v>
      </x:c>
      <x:c r="Q17" s="32" t="n">
        <x:f>Q13*'Unit economics'!$G$10</x:f>
        <x:v>8756</x:v>
      </x:c>
      <x:c r="R17" s="32" t="n">
        <x:f>R13*'Unit economics'!$G$10</x:f>
        <x:v>9950</x:v>
      </x:c>
      <x:c r="S17" s="32" t="n">
        <x:f>S13*'Unit economics'!$G$10</x:f>
        <x:v>9950</x:v>
      </x:c>
      <x:c r="T17" s="32" t="n">
        <x:f>T13*'Unit economics'!$G$10</x:f>
        <x:v>9950</x:v>
      </x:c>
      <x:c r="U17" s="32" t="n">
        <x:f>U13*'Unit economics'!$G$10</x:f>
        <x:v>9950</x:v>
      </x:c>
      <x:c r="V17" s="32" t="n">
        <x:f>V13*'Unit economics'!$G$10</x:f>
        <x:v>9950</x:v>
      </x:c>
      <x:c r="W17" s="32" t="n">
        <x:f>W13*'Unit economics'!$G$10</x:f>
        <x:v>9950</x:v>
      </x:c>
      <x:c r="X17" s="32" t="n">
        <x:f>X13*'Unit economics'!$G$10</x:f>
        <x:v>9950</x:v>
      </x:c>
      <x:c r="Y17" s="32" t="n">
        <x:f>Y13*'Unit economics'!$G$10</x:f>
        <x:v>9950</x:v>
      </x:c>
      <x:c r="Z17" s="32" t="n">
        <x:f>Z13*'Unit economics'!$G$10</x:f>
        <x:v>9950</x:v>
      </x:c>
      <x:c r="AA17" s="32" t="n">
        <x:f>AA13*'Unit economics'!$G$10</x:f>
        <x:v>9950</x:v>
      </x:c>
      <x:c r="AB17" s="32" t="n">
        <x:f>AB13*'Unit economics'!$G$10</x:f>
        <x:v>10049.5</x:v>
      </x:c>
    </x:row>
    <x:row r="18" ht="24" customHeight="1">
      <x:c r="A18" s="2"/>
      <x:c r="B18" s="2"/>
      <x:c r="C18" s="28" t="str">
        <x:v>Total merchandise revenue</x:v>
      </x:c>
      <x:c r="D18" s="61" t="n">
        <x:f>SUM(E18:AB18)</x:f>
        <x:v>646371.9</x:v>
      </x:c>
      <x:c r="E18" s="33" t="n">
        <x:f>SUM(E16:E17)</x:f>
        <x:v>0</x:v>
      </x:c>
      <x:c r="F18" s="33" t="n">
        <x:f>SUM(F16:F17)</x:f>
        <x:v>0</x:v>
      </x:c>
      <x:c r="G18" s="33" t="n">
        <x:f>SUM(G16:G17)</x:f>
        <x:v>0</x:v>
      </x:c>
      <x:c r="H18" s="33" t="n">
        <x:f>SUM(H16:H17)</x:f>
        <x:v>0</x:v>
      </x:c>
      <x:c r="I18" s="33" t="n">
        <x:f>SUM(I16:I17)</x:f>
        <x:v>0</x:v>
      </x:c>
      <x:c r="J18" s="33" t="n">
        <x:f>SUM(J16:J17)</x:f>
        <x:v>0</x:v>
      </x:c>
      <x:c r="K18" s="33" t="n">
        <x:f>SUM(K16:K17)</x:f>
        <x:v>0</x:v>
      </x:c>
      <x:c r="L18" s="33" t="n">
        <x:f>SUM(L16:L17)</x:f>
        <x:v>0</x:v>
      </x:c>
      <x:c r="M18" s="33" t="n">
        <x:f>SUM(M16:M17)</x:f>
        <x:v>0</x:v>
      </x:c>
      <x:c r="N18" s="33" t="n">
        <x:f>SUM(N16:N17)</x:f>
        <x:v>0</x:v>
      </x:c>
      <x:c r="O18" s="33" t="n">
        <x:f>SUM(O16:O17)</x:f>
        <x:v>0</x:v>
      </x:c>
      <x:c r="P18" s="33" t="n">
        <x:f>SUM(P16:P17)</x:f>
        <x:v>32317.6</x:v>
      </x:c>
      <x:c r="Q18" s="33" t="n">
        <x:f>SUM(Q16:Q17)</x:f>
        <x:v>45292.4</x:v>
      </x:c>
      <x:c r="R18" s="33" t="n">
        <x:f>SUM(R16:R17)</x:f>
        <x:v>51680.299999999996</x:v>
      </x:c>
      <x:c r="S18" s="33" t="n">
        <x:f>SUM(S16:S17)</x:f>
        <x:v>51680.299999999996</x:v>
      </x:c>
      <x:c r="T18" s="33" t="n">
        <x:f>SUM(T16:T17)</x:f>
        <x:v>51680.299999999996</x:v>
      </x:c>
      <x:c r="U18" s="33" t="n">
        <x:f>SUM(U16:U17)</x:f>
        <x:v>51680.299999999996</x:v>
      </x:c>
      <x:c r="V18" s="33" t="n">
        <x:f>SUM(V16:V17)</x:f>
        <x:v>51680.299999999996</x:v>
      </x:c>
      <x:c r="W18" s="33" t="n">
        <x:f>SUM(W16:W17)</x:f>
        <x:v>51680.299999999996</x:v>
      </x:c>
      <x:c r="X18" s="33" t="n">
        <x:f>SUM(X16:X17)</x:f>
        <x:v>51680.299999999996</x:v>
      </x:c>
      <x:c r="Y18" s="33" t="n">
        <x:f>SUM(Y16:Y17)</x:f>
        <x:v>51680.299999999996</x:v>
      </x:c>
      <x:c r="Z18" s="33" t="n">
        <x:f>SUM(Z16:Z17)</x:f>
        <x:v>51680.299999999996</x:v>
      </x:c>
      <x:c r="AA18" s="33" t="n">
        <x:f>SUM(AA16:AA17)</x:f>
        <x:v>51680.299999999996</x:v>
      </x:c>
      <x:c r="AB18" s="33" t="n">
        <x:f>SUM(AB16:AB17)</x:f>
        <x:v>51958.9</x:v>
      </x:c>
    </x:row>
    <x:row r="19" ht="21" customHeight="1">
      <x:c r="A19" s="2"/>
      <x:c r="B19" s="2"/>
      <x:c r="C19" s="2" t="str">
        <x:v>Landed COGS (noncash here)</x:v>
      </x:c>
      <x:c r="D19" s="60" t="n">
        <x:f>SUM(E19:AB19)</x:f>
        <x:v>204076.67</x:v>
      </x:c>
      <x:c r="E19" s="32" t="n">
        <x:f>E11*'BOM'!$E$36</x:f>
        <x:v>0</x:v>
      </x:c>
      <x:c r="F19" s="32" t="n">
        <x:f>F11*'BOM'!$E$36</x:f>
        <x:v>0</x:v>
      </x:c>
      <x:c r="G19" s="32" t="n">
        <x:f>G11*'BOM'!$E$36</x:f>
        <x:v>0</x:v>
      </x:c>
      <x:c r="H19" s="32" t="n">
        <x:f>H11*'BOM'!$E$36</x:f>
        <x:v>0</x:v>
      </x:c>
      <x:c r="I19" s="32" t="n">
        <x:f>I11*'BOM'!$E$36</x:f>
        <x:v>0</x:v>
      </x:c>
      <x:c r="J19" s="32" t="n">
        <x:f>J11*'BOM'!$E$36</x:f>
        <x:v>0</x:v>
      </x:c>
      <x:c r="K19" s="32" t="n">
        <x:f>K11*'BOM'!$E$36</x:f>
        <x:v>0</x:v>
      </x:c>
      <x:c r="L19" s="32" t="n">
        <x:f>L11*'BOM'!$E$36</x:f>
        <x:v>0</x:v>
      </x:c>
      <x:c r="M19" s="32" t="n">
        <x:f>M11*'BOM'!$E$36</x:f>
        <x:v>0</x:v>
      </x:c>
      <x:c r="N19" s="32" t="n">
        <x:f>N11*'BOM'!$E$36</x:f>
        <x:v>0</x:v>
      </x:c>
      <x:c r="O19" s="32" t="n">
        <x:f>O11*'BOM'!$E$36</x:f>
        <x:v>0</x:v>
      </x:c>
      <x:c r="P19" s="32" t="n">
        <x:f>P11*'BOM'!$E$36</x:f>
        <x:v>10191.583999999999</x:v>
      </x:c>
      <x:c r="Q19" s="32" t="n">
        <x:f>Q11*'BOM'!$E$36</x:f>
        <x:v>14307.416</x:v>
      </x:c>
      <x:c r="R19" s="32" t="n">
        <x:f>R11*'BOM'!$E$36</x:f>
        <x:v>16316.333999999999</x:v>
      </x:c>
      <x:c r="S19" s="32" t="n">
        <x:f>S11*'BOM'!$E$36</x:f>
        <x:v>16316.333999999999</x:v>
      </x:c>
      <x:c r="T19" s="32" t="n">
        <x:f>T11*'BOM'!$E$36</x:f>
        <x:v>16316.333999999999</x:v>
      </x:c>
      <x:c r="U19" s="32" t="n">
        <x:f>U11*'BOM'!$E$36</x:f>
        <x:v>16316.333999999999</x:v>
      </x:c>
      <x:c r="V19" s="32" t="n">
        <x:f>V11*'BOM'!$E$36</x:f>
        <x:v>16316.333999999999</x:v>
      </x:c>
      <x:c r="W19" s="32" t="n">
        <x:f>W11*'BOM'!$E$36</x:f>
        <x:v>16316.333999999999</x:v>
      </x:c>
      <x:c r="X19" s="32" t="n">
        <x:f>X11*'BOM'!$E$36</x:f>
        <x:v>16316.333999999999</x:v>
      </x:c>
      <x:c r="Y19" s="32" t="n">
        <x:f>Y11*'BOM'!$E$36</x:f>
        <x:v>16316.333999999999</x:v>
      </x:c>
      <x:c r="Z19" s="32" t="n">
        <x:f>Z11*'BOM'!$E$36</x:f>
        <x:v>16316.333999999999</x:v>
      </x:c>
      <x:c r="AA19" s="32" t="n">
        <x:f>AA11*'BOM'!$E$36</x:f>
        <x:v>16316.333999999999</x:v>
      </x:c>
      <x:c r="AB19" s="32" t="n">
        <x:f>AB11*'BOM'!$E$36</x:f>
        <x:v>16414.329999999998</x:v>
      </x:c>
    </x:row>
    <x:row r="20" ht="24" customHeight="1">
      <x:c r="A20" s="2"/>
      <x:c r="B20" s="2"/>
      <x:c r="C20" s="28" t="str">
        <x:v>Gross profit</x:v>
      </x:c>
      <x:c r="D20" s="61" t="n">
        <x:f>SUM(E20:AB20)</x:f>
        <x:v>442295.2300000001</x:v>
      </x:c>
      <x:c r="E20" s="33" t="n">
        <x:f>E18-E19</x:f>
        <x:v>0</x:v>
      </x:c>
      <x:c r="F20" s="33" t="n">
        <x:f>F18-F19</x:f>
        <x:v>0</x:v>
      </x:c>
      <x:c r="G20" s="33" t="n">
        <x:f>G18-G19</x:f>
        <x:v>0</x:v>
      </x:c>
      <x:c r="H20" s="33" t="n">
        <x:f>H18-H19</x:f>
        <x:v>0</x:v>
      </x:c>
      <x:c r="I20" s="33" t="n">
        <x:f>I18-I19</x:f>
        <x:v>0</x:v>
      </x:c>
      <x:c r="J20" s="33" t="n">
        <x:f>J18-J19</x:f>
        <x:v>0</x:v>
      </x:c>
      <x:c r="K20" s="33" t="n">
        <x:f>K18-K19</x:f>
        <x:v>0</x:v>
      </x:c>
      <x:c r="L20" s="33" t="n">
        <x:f>L18-L19</x:f>
        <x:v>0</x:v>
      </x:c>
      <x:c r="M20" s="33" t="n">
        <x:f>M18-M19</x:f>
        <x:v>0</x:v>
      </x:c>
      <x:c r="N20" s="33" t="n">
        <x:f>N18-N19</x:f>
        <x:v>0</x:v>
      </x:c>
      <x:c r="O20" s="33" t="n">
        <x:f>O18-O19</x:f>
        <x:v>0</x:v>
      </x:c>
      <x:c r="P20" s="33" t="n">
        <x:f>P18-P19</x:f>
        <x:v>22126.016</x:v>
      </x:c>
      <x:c r="Q20" s="33" t="n">
        <x:f>Q18-Q19</x:f>
        <x:v>30984.984000000004</x:v>
      </x:c>
      <x:c r="R20" s="33" t="n">
        <x:f>R18-R19</x:f>
        <x:v>35363.966</x:v>
      </x:c>
      <x:c r="S20" s="33" t="n">
        <x:f>S18-S19</x:f>
        <x:v>35363.966</x:v>
      </x:c>
      <x:c r="T20" s="33" t="n">
        <x:f>T18-T19</x:f>
        <x:v>35363.966</x:v>
      </x:c>
      <x:c r="U20" s="33" t="n">
        <x:f>U18-U19</x:f>
        <x:v>35363.966</x:v>
      </x:c>
      <x:c r="V20" s="33" t="n">
        <x:f>V18-V19</x:f>
        <x:v>35363.966</x:v>
      </x:c>
      <x:c r="W20" s="33" t="n">
        <x:f>W18-W19</x:f>
        <x:v>35363.966</x:v>
      </x:c>
      <x:c r="X20" s="33" t="n">
        <x:f>X18-X19</x:f>
        <x:v>35363.966</x:v>
      </x:c>
      <x:c r="Y20" s="33" t="n">
        <x:f>Y18-Y19</x:f>
        <x:v>35363.966</x:v>
      </x:c>
      <x:c r="Z20" s="33" t="n">
        <x:f>Z18-Z19</x:f>
        <x:v>35363.966</x:v>
      </x:c>
      <x:c r="AA20" s="33" t="n">
        <x:f>AA18-AA19</x:f>
        <x:v>35363.966</x:v>
      </x:c>
      <x:c r="AB20" s="33" t="n">
        <x:f>AB18-AB19</x:f>
        <x:v>35544.57000000001</x:v>
      </x:c>
    </x:row>
    <x:row r="21" ht="21" customHeight="1">
      <x:c r="A21" s="2"/>
      <x:c r="B21" s="2"/>
      <x:c r="C21" s="2" t="str">
        <x:v>DTC variable selling costs</x:v>
      </x:c>
      <x:c r="D21" s="60" t="n">
        <x:f>SUM(E21:AB21)</x:f>
        <x:v>196817.38799999998</x:v>
      </x:c>
      <x:c r="E21" s="32" t="n">
        <x:f>E12*'Unit economics'!$E$25</x:f>
        <x:v>0</x:v>
      </x:c>
      <x:c r="F21" s="32" t="n">
        <x:f>F12*'Unit economics'!$E$25</x:f>
        <x:v>0</x:v>
      </x:c>
      <x:c r="G21" s="32" t="n">
        <x:f>G12*'Unit economics'!$E$25</x:f>
        <x:v>0</x:v>
      </x:c>
      <x:c r="H21" s="32" t="n">
        <x:f>H12*'Unit economics'!$E$25</x:f>
        <x:v>0</x:v>
      </x:c>
      <x:c r="I21" s="32" t="n">
        <x:f>I12*'Unit economics'!$E$25</x:f>
        <x:v>0</x:v>
      </x:c>
      <x:c r="J21" s="32" t="n">
        <x:f>J12*'Unit economics'!$E$25</x:f>
        <x:v>0</x:v>
      </x:c>
      <x:c r="K21" s="32" t="n">
        <x:f>K12*'Unit economics'!$E$25</x:f>
        <x:v>0</x:v>
      </x:c>
      <x:c r="L21" s="32" t="n">
        <x:f>L12*'Unit economics'!$E$25</x:f>
        <x:v>0</x:v>
      </x:c>
      <x:c r="M21" s="32" t="n">
        <x:f>M12*'Unit economics'!$E$25</x:f>
        <x:v>0</x:v>
      </x:c>
      <x:c r="N21" s="32" t="n">
        <x:f>N12*'Unit economics'!$E$25</x:f>
        <x:v>0</x:v>
      </x:c>
      <x:c r="O21" s="32" t="n">
        <x:f>O12*'Unit economics'!$E$25</x:f>
        <x:v>0</x:v>
      </x:c>
      <x:c r="P21" s="32" t="n">
        <x:f>P12*'Unit economics'!$E$25</x:f>
        <x:v>9861.132</x:v>
      </x:c>
      <x:c r="Q21" s="32" t="n">
        <x:f>Q12*'Unit economics'!$E$25</x:f>
        <x:v>13778.568000000001</x:v>
      </x:c>
      <x:c r="R21" s="32" t="n">
        <x:f>R12*'Unit economics'!$E$25</x:f>
        <x:v>15737.286</x:v>
      </x:c>
      <x:c r="S21" s="32" t="n">
        <x:f>S12*'Unit economics'!$E$25</x:f>
        <x:v>15737.286</x:v>
      </x:c>
      <x:c r="T21" s="32" t="n">
        <x:f>T12*'Unit economics'!$E$25</x:f>
        <x:v>15737.286</x:v>
      </x:c>
      <x:c r="U21" s="32" t="n">
        <x:f>U12*'Unit economics'!$E$25</x:f>
        <x:v>15737.286</x:v>
      </x:c>
      <x:c r="V21" s="32" t="n">
        <x:f>V12*'Unit economics'!$E$25</x:f>
        <x:v>15737.286</x:v>
      </x:c>
      <x:c r="W21" s="32" t="n">
        <x:f>W12*'Unit economics'!$E$25</x:f>
        <x:v>15737.286</x:v>
      </x:c>
      <x:c r="X21" s="32" t="n">
        <x:f>X12*'Unit economics'!$E$25</x:f>
        <x:v>15737.286</x:v>
      </x:c>
      <x:c r="Y21" s="32" t="n">
        <x:f>Y12*'Unit economics'!$E$25</x:f>
        <x:v>15737.286</x:v>
      </x:c>
      <x:c r="Z21" s="32" t="n">
        <x:f>Z12*'Unit economics'!$E$25</x:f>
        <x:v>15737.286</x:v>
      </x:c>
      <x:c r="AA21" s="32" t="n">
        <x:f>AA12*'Unit economics'!$E$25</x:f>
        <x:v>15737.286</x:v>
      </x:c>
      <x:c r="AB21" s="32" t="n">
        <x:f>AB12*'Unit economics'!$E$25</x:f>
        <x:v>15804.828</x:v>
      </x:c>
    </x:row>
    <x:row r="22" ht="21" customHeight="1">
      <x:c r="A22" s="2"/>
      <x:c r="B22" s="2"/>
      <x:c r="C22" s="2" t="str">
        <x:v>Wholesale variable selling costs</x:v>
      </x:c>
      <x:c r="D22" s="60" t="n">
        <x:f>SUM(E22:AB22)</x:f>
        <x:v>21798.675</x:v>
      </x:c>
      <x:c r="E22" s="32" t="n">
        <x:f>E13*'Unit economics'!$G$25</x:f>
        <x:v>0</x:v>
      </x:c>
      <x:c r="F22" s="32" t="n">
        <x:f>F13*'Unit economics'!$G$25</x:f>
        <x:v>0</x:v>
      </x:c>
      <x:c r="G22" s="32" t="n">
        <x:f>G13*'Unit economics'!$G$25</x:f>
        <x:v>0</x:v>
      </x:c>
      <x:c r="H22" s="32" t="n">
        <x:f>H13*'Unit economics'!$G$25</x:f>
        <x:v>0</x:v>
      </x:c>
      <x:c r="I22" s="32" t="n">
        <x:f>I13*'Unit economics'!$G$25</x:f>
        <x:v>0</x:v>
      </x:c>
      <x:c r="J22" s="32" t="n">
        <x:f>J13*'Unit economics'!$G$25</x:f>
        <x:v>0</x:v>
      </x:c>
      <x:c r="K22" s="32" t="n">
        <x:f>K13*'Unit economics'!$G$25</x:f>
        <x:v>0</x:v>
      </x:c>
      <x:c r="L22" s="32" t="n">
        <x:f>L13*'Unit economics'!$G$25</x:f>
        <x:v>0</x:v>
      </x:c>
      <x:c r="M22" s="32" t="n">
        <x:f>M13*'Unit economics'!$G$25</x:f>
        <x:v>0</x:v>
      </x:c>
      <x:c r="N22" s="32" t="n">
        <x:f>N13*'Unit economics'!$G$25</x:f>
        <x:v>0</x:v>
      </x:c>
      <x:c r="O22" s="32" t="n">
        <x:f>O13*'Unit economics'!$G$25</x:f>
        <x:v>0</x:v>
      </x:c>
      <x:c r="P22" s="32" t="n">
        <x:f>P13*'Unit economics'!$G$25</x:f>
        <x:v>1080.3500000000001</x:v>
      </x:c>
      <x:c r="Q22" s="32" t="n">
        <x:f>Q13*'Unit economics'!$G$25</x:f>
        <x:v>1533.4</x:v>
      </x:c>
      <x:c r="R22" s="32" t="n">
        <x:f>R13*'Unit economics'!$G$25</x:f>
        <x:v>1742.5</x:v>
      </x:c>
      <x:c r="S22" s="32" t="n">
        <x:f>S13*'Unit economics'!$G$25</x:f>
        <x:v>1742.5</x:v>
      </x:c>
      <x:c r="T22" s="32" t="n">
        <x:f>T13*'Unit economics'!$G$25</x:f>
        <x:v>1742.5</x:v>
      </x:c>
      <x:c r="U22" s="32" t="n">
        <x:f>U13*'Unit economics'!$G$25</x:f>
        <x:v>1742.5</x:v>
      </x:c>
      <x:c r="V22" s="32" t="n">
        <x:f>V13*'Unit economics'!$G$25</x:f>
        <x:v>1742.5</x:v>
      </x:c>
      <x:c r="W22" s="32" t="n">
        <x:f>W13*'Unit economics'!$G$25</x:f>
        <x:v>1742.5</x:v>
      </x:c>
      <x:c r="X22" s="32" t="n">
        <x:f>X13*'Unit economics'!$G$25</x:f>
        <x:v>1742.5</x:v>
      </x:c>
      <x:c r="Y22" s="32" t="n">
        <x:f>Y13*'Unit economics'!$G$25</x:f>
        <x:v>1742.5</x:v>
      </x:c>
      <x:c r="Z22" s="32" t="n">
        <x:f>Z13*'Unit economics'!$G$25</x:f>
        <x:v>1742.5</x:v>
      </x:c>
      <x:c r="AA22" s="32" t="n">
        <x:f>AA13*'Unit economics'!$G$25</x:f>
        <x:v>1742.5</x:v>
      </x:c>
      <x:c r="AB22" s="32" t="n">
        <x:f>AB13*'Unit economics'!$G$25</x:f>
        <x:v>1759.9250000000002</x:v>
      </x:c>
    </x:row>
    <x:row r="23" ht="24" customHeight="1">
      <x:c r="A23" s="2"/>
      <x:c r="B23" s="2"/>
      <x:c r="C23" s="28" t="str">
        <x:v>Contribution before program costs</x:v>
      </x:c>
      <x:c r="D23" s="61" t="n">
        <x:f>SUM(E23:AB23)</x:f>
        <x:v>223679.16699999996</x:v>
      </x:c>
      <x:c r="E23" s="33" t="n">
        <x:f>E20-SUM(E21:E22)</x:f>
        <x:v>0</x:v>
      </x:c>
      <x:c r="F23" s="33" t="n">
        <x:f>F20-SUM(F21:F22)</x:f>
        <x:v>0</x:v>
      </x:c>
      <x:c r="G23" s="33" t="n">
        <x:f>G20-SUM(G21:G22)</x:f>
        <x:v>0</x:v>
      </x:c>
      <x:c r="H23" s="33" t="n">
        <x:f>H20-SUM(H21:H22)</x:f>
        <x:v>0</x:v>
      </x:c>
      <x:c r="I23" s="33" t="n">
        <x:f>I20-SUM(I21:I22)</x:f>
        <x:v>0</x:v>
      </x:c>
      <x:c r="J23" s="33" t="n">
        <x:f>J20-SUM(J21:J22)</x:f>
        <x:v>0</x:v>
      </x:c>
      <x:c r="K23" s="33" t="n">
        <x:f>K20-SUM(K21:K22)</x:f>
        <x:v>0</x:v>
      </x:c>
      <x:c r="L23" s="33" t="n">
        <x:f>L20-SUM(L21:L22)</x:f>
        <x:v>0</x:v>
      </x:c>
      <x:c r="M23" s="33" t="n">
        <x:f>M20-SUM(M21:M22)</x:f>
        <x:v>0</x:v>
      </x:c>
      <x:c r="N23" s="33" t="n">
        <x:f>N20-SUM(N21:N22)</x:f>
        <x:v>0</x:v>
      </x:c>
      <x:c r="O23" s="33" t="n">
        <x:f>O20-SUM(O21:O22)</x:f>
        <x:v>0</x:v>
      </x:c>
      <x:c r="P23" s="33" t="n">
        <x:f>P20-SUM(P21:P22)</x:f>
        <x:v>11184.534</x:v>
      </x:c>
      <x:c r="Q23" s="33" t="n">
        <x:f>Q20-SUM(Q21:Q22)</x:f>
        <x:v>15673.016000000003</x:v>
      </x:c>
      <x:c r="R23" s="33" t="n">
        <x:f>R20-SUM(R21:R22)</x:f>
        <x:v>17884.18</x:v>
      </x:c>
      <x:c r="S23" s="33" t="n">
        <x:f>S20-SUM(S21:S22)</x:f>
        <x:v>17884.18</x:v>
      </x:c>
      <x:c r="T23" s="33" t="n">
        <x:f>T20-SUM(T21:T22)</x:f>
        <x:v>17884.18</x:v>
      </x:c>
      <x:c r="U23" s="33" t="n">
        <x:f>U20-SUM(U21:U22)</x:f>
        <x:v>17884.18</x:v>
      </x:c>
      <x:c r="V23" s="33" t="n">
        <x:f>V20-SUM(V21:V22)</x:f>
        <x:v>17884.18</x:v>
      </x:c>
      <x:c r="W23" s="33" t="n">
        <x:f>W20-SUM(W21:W22)</x:f>
        <x:v>17884.18</x:v>
      </x:c>
      <x:c r="X23" s="33" t="n">
        <x:f>X20-SUM(X21:X22)</x:f>
        <x:v>17884.18</x:v>
      </x:c>
      <x:c r="Y23" s="33" t="n">
        <x:f>Y20-SUM(Y21:Y22)</x:f>
        <x:v>17884.18</x:v>
      </x:c>
      <x:c r="Z23" s="33" t="n">
        <x:f>Z20-SUM(Z21:Z22)</x:f>
        <x:v>17884.18</x:v>
      </x:c>
      <x:c r="AA23" s="33" t="n">
        <x:f>AA20-SUM(AA21:AA22)</x:f>
        <x:v>17884.18</x:v>
      </x:c>
      <x:c r="AB23" s="33" t="n">
        <x:f>AB20-SUM(AB21:AB22)</x:f>
        <x:v>17979.817000000006</x:v>
      </x:c>
    </x:row>
    <x:row r="24" ht="21" customHeight="1">
      <x:c r="A24" s="2"/>
      <x:c r="B24" s="2"/>
      <x:c r="C24" s="2" t="str">
        <x:v>One-time program spend</x:v>
      </x:c>
      <x:c r="D24" s="60" t="n">
        <x:f>SUM(E24:AB24)</x:f>
        <x:v>475000</x:v>
      </x:c>
      <x:c r="E24" s="32" t="n">
        <x:f>IF(E$5&lt;=12,'Investment'!$E$15*INDEX('Assumptions'!$E$90:$P$90,1,E$5),0)</x:f>
        <x:v>23750</x:v>
      </x:c>
      <x:c r="F24" s="32" t="n">
        <x:f>IF(F$5&lt;=12,'Investment'!$E$15*INDEX('Assumptions'!$E$90:$P$90,1,F$5),0)</x:f>
        <x:v>28500</x:v>
      </x:c>
      <x:c r="G24" s="32" t="n">
        <x:f>IF(G$5&lt;=12,'Investment'!$E$15*INDEX('Assumptions'!$E$90:$P$90,1,G$5),0)</x:f>
        <x:v>38000</x:v>
      </x:c>
      <x:c r="H24" s="32" t="n">
        <x:f>IF(H$5&lt;=12,'Investment'!$E$15*INDEX('Assumptions'!$E$90:$P$90,1,H$5),0)</x:f>
        <x:v>42750</x:v>
      </x:c>
      <x:c r="I24" s="32" t="n">
        <x:f>IF(I$5&lt;=12,'Investment'!$E$15*INDEX('Assumptions'!$E$90:$P$90,1,I$5),0)</x:f>
        <x:v>47500</x:v>
      </x:c>
      <x:c r="J24" s="32" t="n">
        <x:f>IF(J$5&lt;=12,'Investment'!$E$15*INDEX('Assumptions'!$E$90:$P$90,1,J$5),0)</x:f>
        <x:v>47500</x:v>
      </x:c>
      <x:c r="K24" s="32" t="n">
        <x:f>IF(K$5&lt;=12,'Investment'!$E$15*INDEX('Assumptions'!$E$90:$P$90,1,K$5),0)</x:f>
        <x:v>47500</x:v>
      </x:c>
      <x:c r="L24" s="32" t="n">
        <x:f>IF(L$5&lt;=12,'Investment'!$E$15*INDEX('Assumptions'!$E$90:$P$90,1,L$5),0)</x:f>
        <x:v>42750</x:v>
      </x:c>
      <x:c r="M24" s="32" t="n">
        <x:f>IF(M$5&lt;=12,'Investment'!$E$15*INDEX('Assumptions'!$E$90:$P$90,1,M$5),0)</x:f>
        <x:v>38000</x:v>
      </x:c>
      <x:c r="N24" s="32" t="n">
        <x:f>IF(N$5&lt;=12,'Investment'!$E$15*INDEX('Assumptions'!$E$90:$P$90,1,N$5),0)</x:f>
        <x:v>33250</x:v>
      </x:c>
      <x:c r="O24" s="32" t="n">
        <x:f>IF(O$5&lt;=12,'Investment'!$E$15*INDEX('Assumptions'!$E$90:$P$90,1,O$5),0)</x:f>
        <x:v>47500</x:v>
      </x:c>
      <x:c r="P24" s="32" t="n">
        <x:f>IF(P$5&lt;=12,'Investment'!$E$15*INDEX('Assumptions'!$E$90:$P$90,1,P$5),0)</x:f>
        <x:v>38000</x:v>
      </x:c>
      <x:c r="Q24" s="32" t="n">
        <x:f>IF(Q$5&lt;=12,'Investment'!$E$15*INDEX('Assumptions'!$E$90:$P$90,1,Q$5),0)</x:f>
        <x:v>0</x:v>
      </x:c>
      <x:c r="R24" s="32" t="n">
        <x:f>IF(R$5&lt;=12,'Investment'!$E$15*INDEX('Assumptions'!$E$90:$P$90,1,R$5),0)</x:f>
        <x:v>0</x:v>
      </x:c>
      <x:c r="S24" s="32" t="n">
        <x:f>IF(S$5&lt;=12,'Investment'!$E$15*INDEX('Assumptions'!$E$90:$P$90,1,S$5),0)</x:f>
        <x:v>0</x:v>
      </x:c>
      <x:c r="T24" s="32" t="n">
        <x:f>IF(T$5&lt;=12,'Investment'!$E$15*INDEX('Assumptions'!$E$90:$P$90,1,T$5),0)</x:f>
        <x:v>0</x:v>
      </x:c>
      <x:c r="U24" s="32" t="n">
        <x:f>IF(U$5&lt;=12,'Investment'!$E$15*INDEX('Assumptions'!$E$90:$P$90,1,U$5),0)</x:f>
        <x:v>0</x:v>
      </x:c>
      <x:c r="V24" s="32" t="n">
        <x:f>IF(V$5&lt;=12,'Investment'!$E$15*INDEX('Assumptions'!$E$90:$P$90,1,V$5),0)</x:f>
        <x:v>0</x:v>
      </x:c>
      <x:c r="W24" s="32" t="n">
        <x:f>IF(W$5&lt;=12,'Investment'!$E$15*INDEX('Assumptions'!$E$90:$P$90,1,W$5),0)</x:f>
        <x:v>0</x:v>
      </x:c>
      <x:c r="X24" s="32" t="n">
        <x:f>IF(X$5&lt;=12,'Investment'!$E$15*INDEX('Assumptions'!$E$90:$P$90,1,X$5),0)</x:f>
        <x:v>0</x:v>
      </x:c>
      <x:c r="Y24" s="32" t="n">
        <x:f>IF(Y$5&lt;=12,'Investment'!$E$15*INDEX('Assumptions'!$E$90:$P$90,1,Y$5),0)</x:f>
        <x:v>0</x:v>
      </x:c>
      <x:c r="Z24" s="32" t="n">
        <x:f>IF(Z$5&lt;=12,'Investment'!$E$15*INDEX('Assumptions'!$E$90:$P$90,1,Z$5),0)</x:f>
        <x:v>0</x:v>
      </x:c>
      <x:c r="AA24" s="32" t="n">
        <x:f>IF(AA$5&lt;=12,'Investment'!$E$15*INDEX('Assumptions'!$E$90:$P$90,1,AA$5),0)</x:f>
        <x:v>0</x:v>
      </x:c>
      <x:c r="AB24" s="32" t="n">
        <x:f>IF(AB$5&lt;=12,'Investment'!$E$15*INDEX('Assumptions'!$E$90:$P$90,1,AB$5),0)</x:f>
        <x:v>0</x:v>
      </x:c>
    </x:row>
    <x:row r="25" ht="21" customHeight="1">
      <x:c r="A25" s="2"/>
      <x:c r="B25" s="2"/>
      <x:c r="C25" s="2" t="str">
        <x:v>Corporate operations</x:v>
      </x:c>
      <x:c r="D25" s="60" t="n">
        <x:f>SUM(E25:AB25)</x:f>
        <x:v>192000</x:v>
      </x:c>
      <x:c r="E25" s="32" t="n">
        <x:f>'Assumptions'!$E$60</x:f>
        <x:v>8000</x:v>
      </x:c>
      <x:c r="F25" s="32" t="n">
        <x:f>'Assumptions'!$E$60</x:f>
        <x:v>8000</x:v>
      </x:c>
      <x:c r="G25" s="32" t="n">
        <x:f>'Assumptions'!$E$60</x:f>
        <x:v>8000</x:v>
      </x:c>
      <x:c r="H25" s="32" t="n">
        <x:f>'Assumptions'!$E$60</x:f>
        <x:v>8000</x:v>
      </x:c>
      <x:c r="I25" s="32" t="n">
        <x:f>'Assumptions'!$E$60</x:f>
        <x:v>8000</x:v>
      </x:c>
      <x:c r="J25" s="32" t="n">
        <x:f>'Assumptions'!$E$60</x:f>
        <x:v>8000</x:v>
      </x:c>
      <x:c r="K25" s="32" t="n">
        <x:f>'Assumptions'!$E$60</x:f>
        <x:v>8000</x:v>
      </x:c>
      <x:c r="L25" s="32" t="n">
        <x:f>'Assumptions'!$E$60</x:f>
        <x:v>8000</x:v>
      </x:c>
      <x:c r="M25" s="32" t="n">
        <x:f>'Assumptions'!$E$60</x:f>
        <x:v>8000</x:v>
      </x:c>
      <x:c r="N25" s="32" t="n">
        <x:f>'Assumptions'!$E$60</x:f>
        <x:v>8000</x:v>
      </x:c>
      <x:c r="O25" s="32" t="n">
        <x:f>'Assumptions'!$E$60</x:f>
        <x:v>8000</x:v>
      </x:c>
      <x:c r="P25" s="32" t="n">
        <x:f>'Assumptions'!$E$60</x:f>
        <x:v>8000</x:v>
      </x:c>
      <x:c r="Q25" s="32" t="n">
        <x:f>'Assumptions'!$E$60</x:f>
        <x:v>8000</x:v>
      </x:c>
      <x:c r="R25" s="32" t="n">
        <x:f>'Assumptions'!$E$60</x:f>
        <x:v>8000</x:v>
      </x:c>
      <x:c r="S25" s="32" t="n">
        <x:f>'Assumptions'!$E$60</x:f>
        <x:v>8000</x:v>
      </x:c>
      <x:c r="T25" s="32" t="n">
        <x:f>'Assumptions'!$E$60</x:f>
        <x:v>8000</x:v>
      </x:c>
      <x:c r="U25" s="32" t="n">
        <x:f>'Assumptions'!$E$60</x:f>
        <x:v>8000</x:v>
      </x:c>
      <x:c r="V25" s="32" t="n">
        <x:f>'Assumptions'!$E$60</x:f>
        <x:v>8000</x:v>
      </x:c>
      <x:c r="W25" s="32" t="n">
        <x:f>'Assumptions'!$E$60</x:f>
        <x:v>8000</x:v>
      </x:c>
      <x:c r="X25" s="32" t="n">
        <x:f>'Assumptions'!$E$60</x:f>
        <x:v>8000</x:v>
      </x:c>
      <x:c r="Y25" s="32" t="n">
        <x:f>'Assumptions'!$E$60</x:f>
        <x:v>8000</x:v>
      </x:c>
      <x:c r="Z25" s="32" t="n">
        <x:f>'Assumptions'!$E$60</x:f>
        <x:v>8000</x:v>
      </x:c>
      <x:c r="AA25" s="32" t="n">
        <x:f>'Assumptions'!$E$60</x:f>
        <x:v>8000</x:v>
      </x:c>
      <x:c r="AB25" s="32" t="n">
        <x:f>'Assumptions'!$E$60</x:f>
        <x:v>8000</x:v>
      </x:c>
    </x:row>
    <x:row r="26" ht="21" customHeight="1">
      <x:c r="A26" s="2"/>
      <x:c r="B26" s="2"/>
      <x:c r="C26" s="2" t="str">
        <x:v>Fixed security and service</x:v>
      </x:c>
      <x:c r="D26" s="60" t="n">
        <x:f>SUM(E26:AB26)</x:f>
        <x:v>65000</x:v>
      </x:c>
      <x:c r="E26" s="32" t="n">
        <x:f>IF(AND(E$5&gt;='Assumptions'!$E$45,E$5&lt;'Assumptions'!$E$45+'Assumptions'!$E$85),'Assumptions'!$E$84,0)</x:f>
        <x:v>0</x:v>
      </x:c>
      <x:c r="F26" s="32" t="n">
        <x:f>IF(AND(F$5&gt;='Assumptions'!$E$45,F$5&lt;'Assumptions'!$E$45+'Assumptions'!$E$85),'Assumptions'!$E$84,0)</x:f>
        <x:v>0</x:v>
      </x:c>
      <x:c r="G26" s="32" t="n">
        <x:f>IF(AND(G$5&gt;='Assumptions'!$E$45,G$5&lt;'Assumptions'!$E$45+'Assumptions'!$E$85),'Assumptions'!$E$84,0)</x:f>
        <x:v>0</x:v>
      </x:c>
      <x:c r="H26" s="32" t="n">
        <x:f>IF(AND(H$5&gt;='Assumptions'!$E$45,H$5&lt;'Assumptions'!$E$45+'Assumptions'!$E$85),'Assumptions'!$E$84,0)</x:f>
        <x:v>0</x:v>
      </x:c>
      <x:c r="I26" s="32" t="n">
        <x:f>IF(AND(I$5&gt;='Assumptions'!$E$45,I$5&lt;'Assumptions'!$E$45+'Assumptions'!$E$85),'Assumptions'!$E$84,0)</x:f>
        <x:v>0</x:v>
      </x:c>
      <x:c r="J26" s="32" t="n">
        <x:f>IF(AND(J$5&gt;='Assumptions'!$E$45,J$5&lt;'Assumptions'!$E$45+'Assumptions'!$E$85),'Assumptions'!$E$84,0)</x:f>
        <x:v>0</x:v>
      </x:c>
      <x:c r="K26" s="32" t="n">
        <x:f>IF(AND(K$5&gt;='Assumptions'!$E$45,K$5&lt;'Assumptions'!$E$45+'Assumptions'!$E$85),'Assumptions'!$E$84,0)</x:f>
        <x:v>0</x:v>
      </x:c>
      <x:c r="L26" s="32" t="n">
        <x:f>IF(AND(L$5&gt;='Assumptions'!$E$45,L$5&lt;'Assumptions'!$E$45+'Assumptions'!$E$85),'Assumptions'!$E$84,0)</x:f>
        <x:v>0</x:v>
      </x:c>
      <x:c r="M26" s="32" t="n">
        <x:f>IF(AND(M$5&gt;='Assumptions'!$E$45,M$5&lt;'Assumptions'!$E$45+'Assumptions'!$E$85),'Assumptions'!$E$84,0)</x:f>
        <x:v>0</x:v>
      </x:c>
      <x:c r="N26" s="32" t="n">
        <x:f>IF(AND(N$5&gt;='Assumptions'!$E$45,N$5&lt;'Assumptions'!$E$45+'Assumptions'!$E$85),'Assumptions'!$E$84,0)</x:f>
        <x:v>0</x:v>
      </x:c>
      <x:c r="O26" s="32" t="n">
        <x:f>IF(AND(O$5&gt;='Assumptions'!$E$45,O$5&lt;'Assumptions'!$E$45+'Assumptions'!$E$85),'Assumptions'!$E$84,0)</x:f>
        <x:v>0</x:v>
      </x:c>
      <x:c r="P26" s="32" t="n">
        <x:f>IF(AND(P$5&gt;='Assumptions'!$E$45,P$5&lt;'Assumptions'!$E$45+'Assumptions'!$E$85),'Assumptions'!$E$84,0)</x:f>
        <x:v>5000</x:v>
      </x:c>
      <x:c r="Q26" s="32" t="n">
        <x:f>IF(AND(Q$5&gt;='Assumptions'!$E$45,Q$5&lt;'Assumptions'!$E$45+'Assumptions'!$E$85),'Assumptions'!$E$84,0)</x:f>
        <x:v>5000</x:v>
      </x:c>
      <x:c r="R26" s="32" t="n">
        <x:f>IF(AND(R$5&gt;='Assumptions'!$E$45,R$5&lt;'Assumptions'!$E$45+'Assumptions'!$E$85),'Assumptions'!$E$84,0)</x:f>
        <x:v>5000</x:v>
      </x:c>
      <x:c r="S26" s="32" t="n">
        <x:f>IF(AND(S$5&gt;='Assumptions'!$E$45,S$5&lt;'Assumptions'!$E$45+'Assumptions'!$E$85),'Assumptions'!$E$84,0)</x:f>
        <x:v>5000</x:v>
      </x:c>
      <x:c r="T26" s="32" t="n">
        <x:f>IF(AND(T$5&gt;='Assumptions'!$E$45,T$5&lt;'Assumptions'!$E$45+'Assumptions'!$E$85),'Assumptions'!$E$84,0)</x:f>
        <x:v>5000</x:v>
      </x:c>
      <x:c r="U26" s="32" t="n">
        <x:f>IF(AND(U$5&gt;='Assumptions'!$E$45,U$5&lt;'Assumptions'!$E$45+'Assumptions'!$E$85),'Assumptions'!$E$84,0)</x:f>
        <x:v>5000</x:v>
      </x:c>
      <x:c r="V26" s="32" t="n">
        <x:f>IF(AND(V$5&gt;='Assumptions'!$E$45,V$5&lt;'Assumptions'!$E$45+'Assumptions'!$E$85),'Assumptions'!$E$84,0)</x:f>
        <x:v>5000</x:v>
      </x:c>
      <x:c r="W26" s="32" t="n">
        <x:f>IF(AND(W$5&gt;='Assumptions'!$E$45,W$5&lt;'Assumptions'!$E$45+'Assumptions'!$E$85),'Assumptions'!$E$84,0)</x:f>
        <x:v>5000</x:v>
      </x:c>
      <x:c r="X26" s="32" t="n">
        <x:f>IF(AND(X$5&gt;='Assumptions'!$E$45,X$5&lt;'Assumptions'!$E$45+'Assumptions'!$E$85),'Assumptions'!$E$84,0)</x:f>
        <x:v>5000</x:v>
      </x:c>
      <x:c r="Y26" s="32" t="n">
        <x:f>IF(AND(Y$5&gt;='Assumptions'!$E$45,Y$5&lt;'Assumptions'!$E$45+'Assumptions'!$E$85),'Assumptions'!$E$84,0)</x:f>
        <x:v>5000</x:v>
      </x:c>
      <x:c r="Z26" s="32" t="n">
        <x:f>IF(AND(Z$5&gt;='Assumptions'!$E$45,Z$5&lt;'Assumptions'!$E$45+'Assumptions'!$E$85),'Assumptions'!$E$84,0)</x:f>
        <x:v>5000</x:v>
      </x:c>
      <x:c r="AA26" s="32" t="n">
        <x:f>IF(AND(AA$5&gt;='Assumptions'!$E$45,AA$5&lt;'Assumptions'!$E$45+'Assumptions'!$E$85),'Assumptions'!$E$84,0)</x:f>
        <x:v>5000</x:v>
      </x:c>
      <x:c r="AB26" s="32" t="n">
        <x:f>IF(AND(AB$5&gt;='Assumptions'!$E$45,AB$5&lt;'Assumptions'!$E$45+'Assumptions'!$E$85),'Assumptions'!$E$84,0)</x:f>
        <x:v>5000</x:v>
      </x:c>
    </x:row>
    <x:row r="27" ht="24" customHeight="1">
      <x:c r="A27" s="2"/>
      <x:c r="B27" s="2"/>
      <x:c r="C27" s="28" t="str">
        <x:v>Program surplus / (deficit)</x:v>
      </x:c>
      <x:c r="D27" s="61" t="n">
        <x:f>SUM(E27:AB27)</x:f>
        <x:v>-508320.83299999963</x:v>
      </x:c>
      <x:c r="E27" s="33" t="n">
        <x:f>E23-SUM(E24:E26)</x:f>
        <x:v>-31750</x:v>
      </x:c>
      <x:c r="F27" s="33" t="n">
        <x:f>F23-SUM(F24:F26)</x:f>
        <x:v>-36500</x:v>
      </x:c>
      <x:c r="G27" s="33" t="n">
        <x:f>G23-SUM(G24:G26)</x:f>
        <x:v>-46000</x:v>
      </x:c>
      <x:c r="H27" s="33" t="n">
        <x:f>H23-SUM(H24:H26)</x:f>
        <x:v>-50750</x:v>
      </x:c>
      <x:c r="I27" s="33" t="n">
        <x:f>I23-SUM(I24:I26)</x:f>
        <x:v>-55500</x:v>
      </x:c>
      <x:c r="J27" s="33" t="n">
        <x:f>J23-SUM(J24:J26)</x:f>
        <x:v>-55500</x:v>
      </x:c>
      <x:c r="K27" s="33" t="n">
        <x:f>K23-SUM(K24:K26)</x:f>
        <x:v>-55500</x:v>
      </x:c>
      <x:c r="L27" s="33" t="n">
        <x:f>L23-SUM(L24:L26)</x:f>
        <x:v>-50750</x:v>
      </x:c>
      <x:c r="M27" s="33" t="n">
        <x:f>M23-SUM(M24:M26)</x:f>
        <x:v>-46000</x:v>
      </x:c>
      <x:c r="N27" s="33" t="n">
        <x:f>N23-SUM(N24:N26)</x:f>
        <x:v>-41250</x:v>
      </x:c>
      <x:c r="O27" s="33" t="n">
        <x:f>O23-SUM(O24:O26)</x:f>
        <x:v>-55500</x:v>
      </x:c>
      <x:c r="P27" s="33" t="n">
        <x:f>P23-SUM(P24:P26)</x:f>
        <x:v>-39815.466</x:v>
      </x:c>
      <x:c r="Q27" s="33" t="n">
        <x:f>Q23-SUM(Q24:Q26)</x:f>
        <x:v>2673.0160000000033</x:v>
      </x:c>
      <x:c r="R27" s="33" t="n">
        <x:f>R23-SUM(R24:R26)</x:f>
        <x:v>4884.18</x:v>
      </x:c>
      <x:c r="S27" s="33" t="n">
        <x:f>S23-SUM(S24:S26)</x:f>
        <x:v>4884.18</x:v>
      </x:c>
      <x:c r="T27" s="33" t="n">
        <x:f>T23-SUM(T24:T26)</x:f>
        <x:v>4884.18</x:v>
      </x:c>
      <x:c r="U27" s="33" t="n">
        <x:f>U23-SUM(U24:U26)</x:f>
        <x:v>4884.18</x:v>
      </x:c>
      <x:c r="V27" s="33" t="n">
        <x:f>V23-SUM(V24:V26)</x:f>
        <x:v>4884.18</x:v>
      </x:c>
      <x:c r="W27" s="33" t="n">
        <x:f>W23-SUM(W24:W26)</x:f>
        <x:v>4884.18</x:v>
      </x:c>
      <x:c r="X27" s="33" t="n">
        <x:f>X23-SUM(X24:X26)</x:f>
        <x:v>4884.18</x:v>
      </x:c>
      <x:c r="Y27" s="33" t="n">
        <x:f>Y23-SUM(Y24:Y26)</x:f>
        <x:v>4884.18</x:v>
      </x:c>
      <x:c r="Z27" s="33" t="n">
        <x:f>Z23-SUM(Z24:Z26)</x:f>
        <x:v>4884.18</x:v>
      </x:c>
      <x:c r="AA27" s="33" t="n">
        <x:f>AA23-SUM(AA24:AA26)</x:f>
        <x:v>4884.18</x:v>
      </x:c>
      <x:c r="AB27" s="33" t="n">
        <x:f>AB23-SUM(AB24:AB26)</x:f>
        <x:v>4979.817000000006</x:v>
      </x:c>
    </x:row>
    <x:row r="28" ht="21" customHeight="1">
      <x:c r="A28" s="2"/>
      <x:c r="B28" s="2"/>
      <x:c r="C28" s="2"/>
      <x:c r="D28" s="60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  <x:c r="S28" s="34"/>
      <x:c r="T28" s="34"/>
      <x:c r="U28" s="34"/>
      <x:c r="V28" s="34"/>
      <x:c r="W28" s="34"/>
      <x:c r="X28" s="34"/>
      <x:c r="Y28" s="34"/>
      <x:c r="Z28" s="34"/>
      <x:c r="AA28" s="34"/>
      <x:c r="AB28" s="34"/>
    </x:row>
    <x:row r="29" ht="21" customHeight="1">
      <x:c r="A29" s="2"/>
      <x:c r="B29" s="2"/>
      <x:c r="C29" s="2" t="str">
        <x:v>DTC cash collected</x:v>
      </x:c>
      <x:c r="D29" s="60" t="n">
        <x:f>SUM(E29:AB29)</x:f>
        <x:v>521897.3999999999</x:v>
      </x:c>
      <x:c r="E29" s="34" t="n">
        <x:f>E16</x:f>
        <x:v>0</x:v>
      </x:c>
      <x:c r="F29" s="34" t="n">
        <x:f>F16</x:f>
        <x:v>0</x:v>
      </x:c>
      <x:c r="G29" s="34" t="n">
        <x:f>G16</x:f>
        <x:v>0</x:v>
      </x:c>
      <x:c r="H29" s="34" t="n">
        <x:f>H16</x:f>
        <x:v>0</x:v>
      </x:c>
      <x:c r="I29" s="34" t="n">
        <x:f>I16</x:f>
        <x:v>0</x:v>
      </x:c>
      <x:c r="J29" s="34" t="n">
        <x:f>J16</x:f>
        <x:v>0</x:v>
      </x:c>
      <x:c r="K29" s="34" t="n">
        <x:f>K16</x:f>
        <x:v>0</x:v>
      </x:c>
      <x:c r="L29" s="34" t="n">
        <x:f>L16</x:f>
        <x:v>0</x:v>
      </x:c>
      <x:c r="M29" s="34" t="n">
        <x:f>M16</x:f>
        <x:v>0</x:v>
      </x:c>
      <x:c r="N29" s="34" t="n">
        <x:f>N16</x:f>
        <x:v>0</x:v>
      </x:c>
      <x:c r="O29" s="34" t="n">
        <x:f>O16</x:f>
        <x:v>0</x:v>
      </x:c>
      <x:c r="P29" s="34" t="n">
        <x:f>P16</x:f>
        <x:v>26148.6</x:v>
      </x:c>
      <x:c r="Q29" s="34" t="n">
        <x:f>Q16</x:f>
        <x:v>36536.4</x:v>
      </x:c>
      <x:c r="R29" s="34" t="n">
        <x:f>R16</x:f>
        <x:v>41730.299999999996</x:v>
      </x:c>
      <x:c r="S29" s="34" t="n">
        <x:f>S16</x:f>
        <x:v>41730.299999999996</x:v>
      </x:c>
      <x:c r="T29" s="34" t="n">
        <x:f>T16</x:f>
        <x:v>41730.299999999996</x:v>
      </x:c>
      <x:c r="U29" s="34" t="n">
        <x:f>U16</x:f>
        <x:v>41730.299999999996</x:v>
      </x:c>
      <x:c r="V29" s="34" t="n">
        <x:f>V16</x:f>
        <x:v>41730.299999999996</x:v>
      </x:c>
      <x:c r="W29" s="34" t="n">
        <x:f>W16</x:f>
        <x:v>41730.299999999996</x:v>
      </x:c>
      <x:c r="X29" s="34" t="n">
        <x:f>X16</x:f>
        <x:v>41730.299999999996</x:v>
      </x:c>
      <x:c r="Y29" s="34" t="n">
        <x:f>Y16</x:f>
        <x:v>41730.299999999996</x:v>
      </x:c>
      <x:c r="Z29" s="34" t="n">
        <x:f>Z16</x:f>
        <x:v>41730.299999999996</x:v>
      </x:c>
      <x:c r="AA29" s="34" t="n">
        <x:f>AA16</x:f>
        <x:v>41730.299999999996</x:v>
      </x:c>
      <x:c r="AB29" s="34" t="n">
        <x:f>AB16</x:f>
        <x:v>41909.4</x:v>
      </x:c>
    </x:row>
    <x:row r="30" ht="21" customHeight="1">
      <x:c r="A30" s="2"/>
      <x:c r="B30" s="2"/>
      <x:c r="C30" s="2" t="str">
        <x:v>Wholesale cash collected</x:v>
      </x:c>
      <x:c r="D30" s="60" t="n">
        <x:f>SUM(E30:AB30)</x:f>
        <x:v>114425</x:v>
      </x:c>
      <x:c r="E30" s="32" t="n">
        <x:f>IF(E$5&gt;'Assumptions'!$E$83,INDEX($E$17:$AB$17,1,E$5-'Assumptions'!$E$83),0)</x:f>
        <x:v>0</x:v>
      </x:c>
      <x:c r="F30" s="32" t="n">
        <x:f>IF(F$5&gt;'Assumptions'!$E$83,INDEX($E$17:$AB$17,1,F$5-'Assumptions'!$E$83),0)</x:f>
        <x:v>0</x:v>
      </x:c>
      <x:c r="G30" s="32" t="n">
        <x:f>IF(G$5&gt;'Assumptions'!$E$83,INDEX($E$17:$AB$17,1,G$5-'Assumptions'!$E$83),0)</x:f>
        <x:v>0</x:v>
      </x:c>
      <x:c r="H30" s="32" t="n">
        <x:f>IF(H$5&gt;'Assumptions'!$E$83,INDEX($E$17:$AB$17,1,H$5-'Assumptions'!$E$83),0)</x:f>
        <x:v>0</x:v>
      </x:c>
      <x:c r="I30" s="32" t="n">
        <x:f>IF(I$5&gt;'Assumptions'!$E$83,INDEX($E$17:$AB$17,1,I$5-'Assumptions'!$E$83),0)</x:f>
        <x:v>0</x:v>
      </x:c>
      <x:c r="J30" s="32" t="n">
        <x:f>IF(J$5&gt;'Assumptions'!$E$83,INDEX($E$17:$AB$17,1,J$5-'Assumptions'!$E$83),0)</x:f>
        <x:v>0</x:v>
      </x:c>
      <x:c r="K30" s="32" t="n">
        <x:f>IF(K$5&gt;'Assumptions'!$E$83,INDEX($E$17:$AB$17,1,K$5-'Assumptions'!$E$83),0)</x:f>
        <x:v>0</x:v>
      </x:c>
      <x:c r="L30" s="32" t="n">
        <x:f>IF(L$5&gt;'Assumptions'!$E$83,INDEX($E$17:$AB$17,1,L$5-'Assumptions'!$E$83),0)</x:f>
        <x:v>0</x:v>
      </x:c>
      <x:c r="M30" s="32" t="n">
        <x:f>IF(M$5&gt;'Assumptions'!$E$83,INDEX($E$17:$AB$17,1,M$5-'Assumptions'!$E$83),0)</x:f>
        <x:v>0</x:v>
      </x:c>
      <x:c r="N30" s="32" t="n">
        <x:f>IF(N$5&gt;'Assumptions'!$E$83,INDEX($E$17:$AB$17,1,N$5-'Assumptions'!$E$83),0)</x:f>
        <x:v>0</x:v>
      </x:c>
      <x:c r="O30" s="32" t="n">
        <x:f>IF(O$5&gt;'Assumptions'!$E$83,INDEX($E$17:$AB$17,1,O$5-'Assumptions'!$E$83),0)</x:f>
        <x:v>0</x:v>
      </x:c>
      <x:c r="P30" s="32" t="n">
        <x:f>IF(P$5&gt;'Assumptions'!$E$83,INDEX($E$17:$AB$17,1,P$5-'Assumptions'!$E$83),0)</x:f>
        <x:v>0</x:v>
      </x:c>
      <x:c r="Q30" s="32" t="n">
        <x:f>IF(Q$5&gt;'Assumptions'!$E$83,INDEX($E$17:$AB$17,1,Q$5-'Assumptions'!$E$83),0)</x:f>
        <x:v>6169</x:v>
      </x:c>
      <x:c r="R30" s="32" t="n">
        <x:f>IF(R$5&gt;'Assumptions'!$E$83,INDEX($E$17:$AB$17,1,R$5-'Assumptions'!$E$83),0)</x:f>
        <x:v>8756</x:v>
      </x:c>
      <x:c r="S30" s="32" t="n">
        <x:f>IF(S$5&gt;'Assumptions'!$E$83,INDEX($E$17:$AB$17,1,S$5-'Assumptions'!$E$83),0)</x:f>
        <x:v>9950</x:v>
      </x:c>
      <x:c r="T30" s="32" t="n">
        <x:f>IF(T$5&gt;'Assumptions'!$E$83,INDEX($E$17:$AB$17,1,T$5-'Assumptions'!$E$83),0)</x:f>
        <x:v>9950</x:v>
      </x:c>
      <x:c r="U30" s="32" t="n">
        <x:f>IF(U$5&gt;'Assumptions'!$E$83,INDEX($E$17:$AB$17,1,U$5-'Assumptions'!$E$83),0)</x:f>
        <x:v>9950</x:v>
      </x:c>
      <x:c r="V30" s="32" t="n">
        <x:f>IF(V$5&gt;'Assumptions'!$E$83,INDEX($E$17:$AB$17,1,V$5-'Assumptions'!$E$83),0)</x:f>
        <x:v>9950</x:v>
      </x:c>
      <x:c r="W30" s="32" t="n">
        <x:f>IF(W$5&gt;'Assumptions'!$E$83,INDEX($E$17:$AB$17,1,W$5-'Assumptions'!$E$83),0)</x:f>
        <x:v>9950</x:v>
      </x:c>
      <x:c r="X30" s="32" t="n">
        <x:f>IF(X$5&gt;'Assumptions'!$E$83,INDEX($E$17:$AB$17,1,X$5-'Assumptions'!$E$83),0)</x:f>
        <x:v>9950</x:v>
      </x:c>
      <x:c r="Y30" s="32" t="n">
        <x:f>IF(Y$5&gt;'Assumptions'!$E$83,INDEX($E$17:$AB$17,1,Y$5-'Assumptions'!$E$83),0)</x:f>
        <x:v>9950</x:v>
      </x:c>
      <x:c r="Z30" s="32" t="n">
        <x:f>IF(Z$5&gt;'Assumptions'!$E$83,INDEX($E$17:$AB$17,1,Z$5-'Assumptions'!$E$83),0)</x:f>
        <x:v>9950</x:v>
      </x:c>
      <x:c r="AA30" s="32" t="n">
        <x:f>IF(AA$5&gt;'Assumptions'!$E$83,INDEX($E$17:$AB$17,1,AA$5-'Assumptions'!$E$83),0)</x:f>
        <x:v>9950</x:v>
      </x:c>
      <x:c r="AB30" s="32" t="n">
        <x:f>IF(AB$5&gt;'Assumptions'!$E$83,INDEX($E$17:$AB$17,1,AB$5-'Assumptions'!$E$83),0)</x:f>
        <x:v>9950</x:v>
      </x:c>
    </x:row>
    <x:row r="31" ht="24" customHeight="1">
      <x:c r="A31" s="2"/>
      <x:c r="B31" s="2"/>
      <x:c r="C31" s="28" t="str">
        <x:v>Total cash collected</x:v>
      </x:c>
      <x:c r="D31" s="61" t="n">
        <x:f>SUM(E31:AB31)</x:f>
        <x:v>636322.4</x:v>
      </x:c>
      <x:c r="E31" s="33" t="n">
        <x:f>SUM(E29:E30)</x:f>
        <x:v>0</x:v>
      </x:c>
      <x:c r="F31" s="33" t="n">
        <x:f>SUM(F29:F30)</x:f>
        <x:v>0</x:v>
      </x:c>
      <x:c r="G31" s="33" t="n">
        <x:f>SUM(G29:G30)</x:f>
        <x:v>0</x:v>
      </x:c>
      <x:c r="H31" s="33" t="n">
        <x:f>SUM(H29:H30)</x:f>
        <x:v>0</x:v>
      </x:c>
      <x:c r="I31" s="33" t="n">
        <x:f>SUM(I29:I30)</x:f>
        <x:v>0</x:v>
      </x:c>
      <x:c r="J31" s="33" t="n">
        <x:f>SUM(J29:J30)</x:f>
        <x:v>0</x:v>
      </x:c>
      <x:c r="K31" s="33" t="n">
        <x:f>SUM(K29:K30)</x:f>
        <x:v>0</x:v>
      </x:c>
      <x:c r="L31" s="33" t="n">
        <x:f>SUM(L29:L30)</x:f>
        <x:v>0</x:v>
      </x:c>
      <x:c r="M31" s="33" t="n">
        <x:f>SUM(M29:M30)</x:f>
        <x:v>0</x:v>
      </x:c>
      <x:c r="N31" s="33" t="n">
        <x:f>SUM(N29:N30)</x:f>
        <x:v>0</x:v>
      </x:c>
      <x:c r="O31" s="33" t="n">
        <x:f>SUM(O29:O30)</x:f>
        <x:v>0</x:v>
      </x:c>
      <x:c r="P31" s="33" t="n">
        <x:f>SUM(P29:P30)</x:f>
        <x:v>26148.6</x:v>
      </x:c>
      <x:c r="Q31" s="33" t="n">
        <x:f>SUM(Q29:Q30)</x:f>
        <x:v>42705.4</x:v>
      </x:c>
      <x:c r="R31" s="33" t="n">
        <x:f>SUM(R29:R30)</x:f>
        <x:v>50486.299999999996</x:v>
      </x:c>
      <x:c r="S31" s="33" t="n">
        <x:f>SUM(S29:S30)</x:f>
        <x:v>51680.299999999996</x:v>
      </x:c>
      <x:c r="T31" s="33" t="n">
        <x:f>SUM(T29:T30)</x:f>
        <x:v>51680.299999999996</x:v>
      </x:c>
      <x:c r="U31" s="33" t="n">
        <x:f>SUM(U29:U30)</x:f>
        <x:v>51680.299999999996</x:v>
      </x:c>
      <x:c r="V31" s="33" t="n">
        <x:f>SUM(V29:V30)</x:f>
        <x:v>51680.299999999996</x:v>
      </x:c>
      <x:c r="W31" s="33" t="n">
        <x:f>SUM(W29:W30)</x:f>
        <x:v>51680.299999999996</x:v>
      </x:c>
      <x:c r="X31" s="33" t="n">
        <x:f>SUM(X29:X30)</x:f>
        <x:v>51680.299999999996</x:v>
      </x:c>
      <x:c r="Y31" s="33" t="n">
        <x:f>SUM(Y29:Y30)</x:f>
        <x:v>51680.299999999996</x:v>
      </x:c>
      <x:c r="Z31" s="33" t="n">
        <x:f>SUM(Z29:Z30)</x:f>
        <x:v>51680.299999999996</x:v>
      </x:c>
      <x:c r="AA31" s="33" t="n">
        <x:f>SUM(AA29:AA30)</x:f>
        <x:v>51680.299999999996</x:v>
      </x:c>
      <x:c r="AB31" s="33" t="n">
        <x:f>SUM(AB29:AB30)</x:f>
        <x:v>51859.4</x:v>
      </x:c>
    </x:row>
    <x:row r="32" ht="21" customHeight="1">
      <x:c r="A32" s="2"/>
      <x:c r="B32" s="2"/>
      <x:c r="C32" s="2"/>
      <x:c r="D32" s="60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  <x:c r="S32" s="34"/>
      <x:c r="T32" s="34"/>
      <x:c r="U32" s="34"/>
      <x:c r="V32" s="34"/>
      <x:c r="W32" s="34"/>
      <x:c r="X32" s="34"/>
      <x:c r="Y32" s="34"/>
      <x:c r="Z32" s="34"/>
      <x:c r="AA32" s="34"/>
      <x:c r="AB32" s="34"/>
    </x:row>
    <x:row r="33" ht="21" customHeight="1">
      <x:c r="A33" s="2"/>
      <x:c r="B33" s="2"/>
      <x:c r="C33" s="2" t="str">
        <x:v>Factory deposit</x:v>
      </x:c>
      <x:c r="D33" s="60" t="n">
        <x:f>SUM(E33:AB33)</x:f>
        <x:v>59636.999999999985</x:v>
      </x:c>
      <x:c r="E33" s="32" t="n">
        <x:f>IF(E$5='Assumptions'!$E$45-4,('BOM'!$E$31+'BOM'!$E$32)*'Assumptions'!$E$15*'Assumptions'!$E$81,0)</x:f>
        <x:v>0</x:v>
      </x:c>
      <x:c r="F33" s="32" t="n">
        <x:f>IF(F$5='Assumptions'!$E$45-4,('BOM'!$E$31+'BOM'!$E$32)*'Assumptions'!$E$15*'Assumptions'!$E$81,0)</x:f>
        <x:v>0</x:v>
      </x:c>
      <x:c r="G33" s="32" t="n">
        <x:f>IF(G$5='Assumptions'!$E$45-4,('BOM'!$E$31+'BOM'!$E$32)*'Assumptions'!$E$15*'Assumptions'!$E$81,0)</x:f>
        <x:v>0</x:v>
      </x:c>
      <x:c r="H33" s="32" t="n">
        <x:f>IF(H$5='Assumptions'!$E$45-4,('BOM'!$E$31+'BOM'!$E$32)*'Assumptions'!$E$15*'Assumptions'!$E$81,0)</x:f>
        <x:v>0</x:v>
      </x:c>
      <x:c r="I33" s="32" t="n">
        <x:f>IF(I$5='Assumptions'!$E$45-4,('BOM'!$E$31+'BOM'!$E$32)*'Assumptions'!$E$15*'Assumptions'!$E$81,0)</x:f>
        <x:v>0</x:v>
      </x:c>
      <x:c r="J33" s="32" t="n">
        <x:f>IF(J$5='Assumptions'!$E$45-4,('BOM'!$E$31+'BOM'!$E$32)*'Assumptions'!$E$15*'Assumptions'!$E$81,0)</x:f>
        <x:v>0</x:v>
      </x:c>
      <x:c r="K33" s="32" t="n">
        <x:f>IF(K$5='Assumptions'!$E$45-4,('BOM'!$E$31+'BOM'!$E$32)*'Assumptions'!$E$15*'Assumptions'!$E$81,0)</x:f>
        <x:v>0</x:v>
      </x:c>
      <x:c r="L33" s="32" t="n">
        <x:f>IF(L$5='Assumptions'!$E$45-4,('BOM'!$E$31+'BOM'!$E$32)*'Assumptions'!$E$15*'Assumptions'!$E$81,0)</x:f>
        <x:v>59636.999999999985</x:v>
      </x:c>
      <x:c r="M33" s="32" t="n">
        <x:f>IF(M$5='Assumptions'!$E$45-4,('BOM'!$E$31+'BOM'!$E$32)*'Assumptions'!$E$15*'Assumptions'!$E$81,0)</x:f>
        <x:v>0</x:v>
      </x:c>
      <x:c r="N33" s="32" t="n">
        <x:f>IF(N$5='Assumptions'!$E$45-4,('BOM'!$E$31+'BOM'!$E$32)*'Assumptions'!$E$15*'Assumptions'!$E$81,0)</x:f>
        <x:v>0</x:v>
      </x:c>
      <x:c r="O33" s="32" t="n">
        <x:f>IF(O$5='Assumptions'!$E$45-4,('BOM'!$E$31+'BOM'!$E$32)*'Assumptions'!$E$15*'Assumptions'!$E$81,0)</x:f>
        <x:v>0</x:v>
      </x:c>
      <x:c r="P33" s="32" t="n">
        <x:f>IF(P$5='Assumptions'!$E$45-4,('BOM'!$E$31+'BOM'!$E$32)*'Assumptions'!$E$15*'Assumptions'!$E$81,0)</x:f>
        <x:v>0</x:v>
      </x:c>
      <x:c r="Q33" s="32" t="n">
        <x:f>IF(Q$5='Assumptions'!$E$45-4,('BOM'!$E$31+'BOM'!$E$32)*'Assumptions'!$E$15*'Assumptions'!$E$81,0)</x:f>
        <x:v>0</x:v>
      </x:c>
      <x:c r="R33" s="32" t="n">
        <x:f>IF(R$5='Assumptions'!$E$45-4,('BOM'!$E$31+'BOM'!$E$32)*'Assumptions'!$E$15*'Assumptions'!$E$81,0)</x:f>
        <x:v>0</x:v>
      </x:c>
      <x:c r="S33" s="32" t="n">
        <x:f>IF(S$5='Assumptions'!$E$45-4,('BOM'!$E$31+'BOM'!$E$32)*'Assumptions'!$E$15*'Assumptions'!$E$81,0)</x:f>
        <x:v>0</x:v>
      </x:c>
      <x:c r="T33" s="32" t="n">
        <x:f>IF(T$5='Assumptions'!$E$45-4,('BOM'!$E$31+'BOM'!$E$32)*'Assumptions'!$E$15*'Assumptions'!$E$81,0)</x:f>
        <x:v>0</x:v>
      </x:c>
      <x:c r="U33" s="32" t="n">
        <x:f>IF(U$5='Assumptions'!$E$45-4,('BOM'!$E$31+'BOM'!$E$32)*'Assumptions'!$E$15*'Assumptions'!$E$81,0)</x:f>
        <x:v>0</x:v>
      </x:c>
      <x:c r="V33" s="32" t="n">
        <x:f>IF(V$5='Assumptions'!$E$45-4,('BOM'!$E$31+'BOM'!$E$32)*'Assumptions'!$E$15*'Assumptions'!$E$81,0)</x:f>
        <x:v>0</x:v>
      </x:c>
      <x:c r="W33" s="32" t="n">
        <x:f>IF(W$5='Assumptions'!$E$45-4,('BOM'!$E$31+'BOM'!$E$32)*'Assumptions'!$E$15*'Assumptions'!$E$81,0)</x:f>
        <x:v>0</x:v>
      </x:c>
      <x:c r="X33" s="32" t="n">
        <x:f>IF(X$5='Assumptions'!$E$45-4,('BOM'!$E$31+'BOM'!$E$32)*'Assumptions'!$E$15*'Assumptions'!$E$81,0)</x:f>
        <x:v>0</x:v>
      </x:c>
      <x:c r="Y33" s="32" t="n">
        <x:f>IF(Y$5='Assumptions'!$E$45-4,('BOM'!$E$31+'BOM'!$E$32)*'Assumptions'!$E$15*'Assumptions'!$E$81,0)</x:f>
        <x:v>0</x:v>
      </x:c>
      <x:c r="Z33" s="32" t="n">
        <x:f>IF(Z$5='Assumptions'!$E$45-4,('BOM'!$E$31+'BOM'!$E$32)*'Assumptions'!$E$15*'Assumptions'!$E$81,0)</x:f>
        <x:v>0</x:v>
      </x:c>
      <x:c r="AA33" s="32" t="n">
        <x:f>IF(AA$5='Assumptions'!$E$45-4,('BOM'!$E$31+'BOM'!$E$32)*'Assumptions'!$E$15*'Assumptions'!$E$81,0)</x:f>
        <x:v>0</x:v>
      </x:c>
      <x:c r="AB33" s="32" t="n">
        <x:f>IF(AB$5='Assumptions'!$E$45-4,('BOM'!$E$31+'BOM'!$E$32)*'Assumptions'!$E$15*'Assumptions'!$E$81,0)</x:f>
        <x:v>0</x:v>
      </x:c>
    </x:row>
    <x:row r="34" ht="21" customHeight="1">
      <x:c r="A34" s="2"/>
      <x:c r="B34" s="2"/>
      <x:c r="C34" s="2" t="str">
        <x:v>Factory balance</x:v>
      </x:c>
      <x:c r="D34" s="60" t="n">
        <x:f>SUM(E34:AB34)</x:f>
        <x:v>139152.99999999997</x:v>
      </x:c>
      <x:c r="E34" s="32" t="n">
        <x:f>IF(E$5='Assumptions'!$E$45-2,('BOM'!$E$31+'BOM'!$E$32)*'Assumptions'!$E$15*(1-'Assumptions'!$E$81),0)</x:f>
        <x:v>0</x:v>
      </x:c>
      <x:c r="F34" s="32" t="n">
        <x:f>IF(F$5='Assumptions'!$E$45-2,('BOM'!$E$31+'BOM'!$E$32)*'Assumptions'!$E$15*(1-'Assumptions'!$E$81),0)</x:f>
        <x:v>0</x:v>
      </x:c>
      <x:c r="G34" s="32" t="n">
        <x:f>IF(G$5='Assumptions'!$E$45-2,('BOM'!$E$31+'BOM'!$E$32)*'Assumptions'!$E$15*(1-'Assumptions'!$E$81),0)</x:f>
        <x:v>0</x:v>
      </x:c>
      <x:c r="H34" s="32" t="n">
        <x:f>IF(H$5='Assumptions'!$E$45-2,('BOM'!$E$31+'BOM'!$E$32)*'Assumptions'!$E$15*(1-'Assumptions'!$E$81),0)</x:f>
        <x:v>0</x:v>
      </x:c>
      <x:c r="I34" s="32" t="n">
        <x:f>IF(I$5='Assumptions'!$E$45-2,('BOM'!$E$31+'BOM'!$E$32)*'Assumptions'!$E$15*(1-'Assumptions'!$E$81),0)</x:f>
        <x:v>0</x:v>
      </x:c>
      <x:c r="J34" s="32" t="n">
        <x:f>IF(J$5='Assumptions'!$E$45-2,('BOM'!$E$31+'BOM'!$E$32)*'Assumptions'!$E$15*(1-'Assumptions'!$E$81),0)</x:f>
        <x:v>0</x:v>
      </x:c>
      <x:c r="K34" s="32" t="n">
        <x:f>IF(K$5='Assumptions'!$E$45-2,('BOM'!$E$31+'BOM'!$E$32)*'Assumptions'!$E$15*(1-'Assumptions'!$E$81),0)</x:f>
        <x:v>0</x:v>
      </x:c>
      <x:c r="L34" s="32" t="n">
        <x:f>IF(L$5='Assumptions'!$E$45-2,('BOM'!$E$31+'BOM'!$E$32)*'Assumptions'!$E$15*(1-'Assumptions'!$E$81),0)</x:f>
        <x:v>0</x:v>
      </x:c>
      <x:c r="M34" s="32" t="n">
        <x:f>IF(M$5='Assumptions'!$E$45-2,('BOM'!$E$31+'BOM'!$E$32)*'Assumptions'!$E$15*(1-'Assumptions'!$E$81),0)</x:f>
        <x:v>0</x:v>
      </x:c>
      <x:c r="N34" s="32" t="n">
        <x:f>IF(N$5='Assumptions'!$E$45-2,('BOM'!$E$31+'BOM'!$E$32)*'Assumptions'!$E$15*(1-'Assumptions'!$E$81),0)</x:f>
        <x:v>139152.99999999997</x:v>
      </x:c>
      <x:c r="O34" s="32" t="n">
        <x:f>IF(O$5='Assumptions'!$E$45-2,('BOM'!$E$31+'BOM'!$E$32)*'Assumptions'!$E$15*(1-'Assumptions'!$E$81),0)</x:f>
        <x:v>0</x:v>
      </x:c>
      <x:c r="P34" s="32" t="n">
        <x:f>IF(P$5='Assumptions'!$E$45-2,('BOM'!$E$31+'BOM'!$E$32)*'Assumptions'!$E$15*(1-'Assumptions'!$E$81),0)</x:f>
        <x:v>0</x:v>
      </x:c>
      <x:c r="Q34" s="32" t="n">
        <x:f>IF(Q$5='Assumptions'!$E$45-2,('BOM'!$E$31+'BOM'!$E$32)*'Assumptions'!$E$15*(1-'Assumptions'!$E$81),0)</x:f>
        <x:v>0</x:v>
      </x:c>
      <x:c r="R34" s="32" t="n">
        <x:f>IF(R$5='Assumptions'!$E$45-2,('BOM'!$E$31+'BOM'!$E$32)*'Assumptions'!$E$15*(1-'Assumptions'!$E$81),0)</x:f>
        <x:v>0</x:v>
      </x:c>
      <x:c r="S34" s="32" t="n">
        <x:f>IF(S$5='Assumptions'!$E$45-2,('BOM'!$E$31+'BOM'!$E$32)*'Assumptions'!$E$15*(1-'Assumptions'!$E$81),0)</x:f>
        <x:v>0</x:v>
      </x:c>
      <x:c r="T34" s="32" t="n">
        <x:f>IF(T$5='Assumptions'!$E$45-2,('BOM'!$E$31+'BOM'!$E$32)*'Assumptions'!$E$15*(1-'Assumptions'!$E$81),0)</x:f>
        <x:v>0</x:v>
      </x:c>
      <x:c r="U34" s="32" t="n">
        <x:f>IF(U$5='Assumptions'!$E$45-2,('BOM'!$E$31+'BOM'!$E$32)*'Assumptions'!$E$15*(1-'Assumptions'!$E$81),0)</x:f>
        <x:v>0</x:v>
      </x:c>
      <x:c r="V34" s="32" t="n">
        <x:f>IF(V$5='Assumptions'!$E$45-2,('BOM'!$E$31+'BOM'!$E$32)*'Assumptions'!$E$15*(1-'Assumptions'!$E$81),0)</x:f>
        <x:v>0</x:v>
      </x:c>
      <x:c r="W34" s="32" t="n">
        <x:f>IF(W$5='Assumptions'!$E$45-2,('BOM'!$E$31+'BOM'!$E$32)*'Assumptions'!$E$15*(1-'Assumptions'!$E$81),0)</x:f>
        <x:v>0</x:v>
      </x:c>
      <x:c r="X34" s="32" t="n">
        <x:f>IF(X$5='Assumptions'!$E$45-2,('BOM'!$E$31+'BOM'!$E$32)*'Assumptions'!$E$15*(1-'Assumptions'!$E$81),0)</x:f>
        <x:v>0</x:v>
      </x:c>
      <x:c r="Y34" s="32" t="n">
        <x:f>IF(Y$5='Assumptions'!$E$45-2,('BOM'!$E$31+'BOM'!$E$32)*'Assumptions'!$E$15*(1-'Assumptions'!$E$81),0)</x:f>
        <x:v>0</x:v>
      </x:c>
      <x:c r="Z34" s="32" t="n">
        <x:f>IF(Z$5='Assumptions'!$E$45-2,('BOM'!$E$31+'BOM'!$E$32)*'Assumptions'!$E$15*(1-'Assumptions'!$E$81),0)</x:f>
        <x:v>0</x:v>
      </x:c>
      <x:c r="AA34" s="32" t="n">
        <x:f>IF(AA$5='Assumptions'!$E$45-2,('BOM'!$E$31+'BOM'!$E$32)*'Assumptions'!$E$15*(1-'Assumptions'!$E$81),0)</x:f>
        <x:v>0</x:v>
      </x:c>
      <x:c r="AB34" s="32" t="n">
        <x:f>IF(AB$5='Assumptions'!$E$45-2,('BOM'!$E$31+'BOM'!$E$32)*'Assumptions'!$E$15*(1-'Assumptions'!$E$81),0)</x:f>
        <x:v>0</x:v>
      </x:c>
    </x:row>
    <x:row r="35" ht="21" customHeight="1">
      <x:c r="A35" s="2"/>
      <x:c r="B35" s="2"/>
      <x:c r="C35" s="2" t="str">
        <x:v>Freight, duty, inbound</x:v>
      </x:c>
      <x:c r="D35" s="60" t="n">
        <x:f>SUM(E35:AB35)</x:f>
        <x:v>46199.99999999999</x:v>
      </x:c>
      <x:c r="E35" s="32" t="n">
        <x:f>IF(E$5='Assumptions'!$E$45-1,SUM('BOM'!$E$33:$E$35)*'Assumptions'!$E$15,0)</x:f>
        <x:v>0</x:v>
      </x:c>
      <x:c r="F35" s="32" t="n">
        <x:f>IF(F$5='Assumptions'!$E$45-1,SUM('BOM'!$E$33:$E$35)*'Assumptions'!$E$15,0)</x:f>
        <x:v>0</x:v>
      </x:c>
      <x:c r="G35" s="32" t="n">
        <x:f>IF(G$5='Assumptions'!$E$45-1,SUM('BOM'!$E$33:$E$35)*'Assumptions'!$E$15,0)</x:f>
        <x:v>0</x:v>
      </x:c>
      <x:c r="H35" s="32" t="n">
        <x:f>IF(H$5='Assumptions'!$E$45-1,SUM('BOM'!$E$33:$E$35)*'Assumptions'!$E$15,0)</x:f>
        <x:v>0</x:v>
      </x:c>
      <x:c r="I35" s="32" t="n">
        <x:f>IF(I$5='Assumptions'!$E$45-1,SUM('BOM'!$E$33:$E$35)*'Assumptions'!$E$15,0)</x:f>
        <x:v>0</x:v>
      </x:c>
      <x:c r="J35" s="32" t="n">
        <x:f>IF(J$5='Assumptions'!$E$45-1,SUM('BOM'!$E$33:$E$35)*'Assumptions'!$E$15,0)</x:f>
        <x:v>0</x:v>
      </x:c>
      <x:c r="K35" s="32" t="n">
        <x:f>IF(K$5='Assumptions'!$E$45-1,SUM('BOM'!$E$33:$E$35)*'Assumptions'!$E$15,0)</x:f>
        <x:v>0</x:v>
      </x:c>
      <x:c r="L35" s="32" t="n">
        <x:f>IF(L$5='Assumptions'!$E$45-1,SUM('BOM'!$E$33:$E$35)*'Assumptions'!$E$15,0)</x:f>
        <x:v>0</x:v>
      </x:c>
      <x:c r="M35" s="32" t="n">
        <x:f>IF(M$5='Assumptions'!$E$45-1,SUM('BOM'!$E$33:$E$35)*'Assumptions'!$E$15,0)</x:f>
        <x:v>0</x:v>
      </x:c>
      <x:c r="N35" s="32" t="n">
        <x:f>IF(N$5='Assumptions'!$E$45-1,SUM('BOM'!$E$33:$E$35)*'Assumptions'!$E$15,0)</x:f>
        <x:v>0</x:v>
      </x:c>
      <x:c r="O35" s="32" t="n">
        <x:f>IF(O$5='Assumptions'!$E$45-1,SUM('BOM'!$E$33:$E$35)*'Assumptions'!$E$15,0)</x:f>
        <x:v>46199.99999999999</x:v>
      </x:c>
      <x:c r="P35" s="32" t="n">
        <x:f>IF(P$5='Assumptions'!$E$45-1,SUM('BOM'!$E$33:$E$35)*'Assumptions'!$E$15,0)</x:f>
        <x:v>0</x:v>
      </x:c>
      <x:c r="Q35" s="32" t="n">
        <x:f>IF(Q$5='Assumptions'!$E$45-1,SUM('BOM'!$E$33:$E$35)*'Assumptions'!$E$15,0)</x:f>
        <x:v>0</x:v>
      </x:c>
      <x:c r="R35" s="32" t="n">
        <x:f>IF(R$5='Assumptions'!$E$45-1,SUM('BOM'!$E$33:$E$35)*'Assumptions'!$E$15,0)</x:f>
        <x:v>0</x:v>
      </x:c>
      <x:c r="S35" s="32" t="n">
        <x:f>IF(S$5='Assumptions'!$E$45-1,SUM('BOM'!$E$33:$E$35)*'Assumptions'!$E$15,0)</x:f>
        <x:v>0</x:v>
      </x:c>
      <x:c r="T35" s="32" t="n">
        <x:f>IF(T$5='Assumptions'!$E$45-1,SUM('BOM'!$E$33:$E$35)*'Assumptions'!$E$15,0)</x:f>
        <x:v>0</x:v>
      </x:c>
      <x:c r="U35" s="32" t="n">
        <x:f>IF(U$5='Assumptions'!$E$45-1,SUM('BOM'!$E$33:$E$35)*'Assumptions'!$E$15,0)</x:f>
        <x:v>0</x:v>
      </x:c>
      <x:c r="V35" s="32" t="n">
        <x:f>IF(V$5='Assumptions'!$E$45-1,SUM('BOM'!$E$33:$E$35)*'Assumptions'!$E$15,0)</x:f>
        <x:v>0</x:v>
      </x:c>
      <x:c r="W35" s="32" t="n">
        <x:f>IF(W$5='Assumptions'!$E$45-1,SUM('BOM'!$E$33:$E$35)*'Assumptions'!$E$15,0)</x:f>
        <x:v>0</x:v>
      </x:c>
      <x:c r="X35" s="32" t="n">
        <x:f>IF(X$5='Assumptions'!$E$45-1,SUM('BOM'!$E$33:$E$35)*'Assumptions'!$E$15,0)</x:f>
        <x:v>0</x:v>
      </x:c>
      <x:c r="Y35" s="32" t="n">
        <x:f>IF(Y$5='Assumptions'!$E$45-1,SUM('BOM'!$E$33:$E$35)*'Assumptions'!$E$15,0)</x:f>
        <x:v>0</x:v>
      </x:c>
      <x:c r="Z35" s="32" t="n">
        <x:f>IF(Z$5='Assumptions'!$E$45-1,SUM('BOM'!$E$33:$E$35)*'Assumptions'!$E$15,0)</x:f>
        <x:v>0</x:v>
      </x:c>
      <x:c r="AA35" s="32" t="n">
        <x:f>IF(AA$5='Assumptions'!$E$45-1,SUM('BOM'!$E$33:$E$35)*'Assumptions'!$E$15,0)</x:f>
        <x:v>0</x:v>
      </x:c>
      <x:c r="AB35" s="32" t="n">
        <x:f>IF(AB$5='Assumptions'!$E$45-1,SUM('BOM'!$E$33:$E$35)*'Assumptions'!$E$15,0)</x:f>
        <x:v>0</x:v>
      </x:c>
    </x:row>
    <x:row r="36" ht="21" customHeight="1">
      <x:c r="A36" s="2"/>
      <x:c r="B36" s="2"/>
      <x:c r="C36" s="2" t="str">
        <x:v>Selling costs and provisions paid</x:v>
      </x:c>
      <x:c r="D36" s="60" t="n">
        <x:f>SUM(E36:AB36)</x:f>
        <x:v>218616.06299999997</x:v>
      </x:c>
      <x:c r="E36" s="34" t="n">
        <x:f>SUM(E21:E22)</x:f>
        <x:v>0</x:v>
      </x:c>
      <x:c r="F36" s="34" t="n">
        <x:f>SUM(F21:F22)</x:f>
        <x:v>0</x:v>
      </x:c>
      <x:c r="G36" s="34" t="n">
        <x:f>SUM(G21:G22)</x:f>
        <x:v>0</x:v>
      </x:c>
      <x:c r="H36" s="34" t="n">
        <x:f>SUM(H21:H22)</x:f>
        <x:v>0</x:v>
      </x:c>
      <x:c r="I36" s="34" t="n">
        <x:f>SUM(I21:I22)</x:f>
        <x:v>0</x:v>
      </x:c>
      <x:c r="J36" s="34" t="n">
        <x:f>SUM(J21:J22)</x:f>
        <x:v>0</x:v>
      </x:c>
      <x:c r="K36" s="34" t="n">
        <x:f>SUM(K21:K22)</x:f>
        <x:v>0</x:v>
      </x:c>
      <x:c r="L36" s="34" t="n">
        <x:f>SUM(L21:L22)</x:f>
        <x:v>0</x:v>
      </x:c>
      <x:c r="M36" s="34" t="n">
        <x:f>SUM(M21:M22)</x:f>
        <x:v>0</x:v>
      </x:c>
      <x:c r="N36" s="34" t="n">
        <x:f>SUM(N21:N22)</x:f>
        <x:v>0</x:v>
      </x:c>
      <x:c r="O36" s="34" t="n">
        <x:f>SUM(O21:O22)</x:f>
        <x:v>0</x:v>
      </x:c>
      <x:c r="P36" s="34" t="n">
        <x:f>SUM(P21:P22)</x:f>
        <x:v>10941.482</x:v>
      </x:c>
      <x:c r="Q36" s="34" t="n">
        <x:f>SUM(Q21:Q22)</x:f>
        <x:v>15311.968</x:v>
      </x:c>
      <x:c r="R36" s="34" t="n">
        <x:f>SUM(R21:R22)</x:f>
        <x:v>17479.786</x:v>
      </x:c>
      <x:c r="S36" s="34" t="n">
        <x:f>SUM(S21:S22)</x:f>
        <x:v>17479.786</x:v>
      </x:c>
      <x:c r="T36" s="34" t="n">
        <x:f>SUM(T21:T22)</x:f>
        <x:v>17479.786</x:v>
      </x:c>
      <x:c r="U36" s="34" t="n">
        <x:f>SUM(U21:U22)</x:f>
        <x:v>17479.786</x:v>
      </x:c>
      <x:c r="V36" s="34" t="n">
        <x:f>SUM(V21:V22)</x:f>
        <x:v>17479.786</x:v>
      </x:c>
      <x:c r="W36" s="34" t="n">
        <x:f>SUM(W21:W22)</x:f>
        <x:v>17479.786</x:v>
      </x:c>
      <x:c r="X36" s="34" t="n">
        <x:f>SUM(X21:X22)</x:f>
        <x:v>17479.786</x:v>
      </x:c>
      <x:c r="Y36" s="34" t="n">
        <x:f>SUM(Y21:Y22)</x:f>
        <x:v>17479.786</x:v>
      </x:c>
      <x:c r="Z36" s="34" t="n">
        <x:f>SUM(Z21:Z22)</x:f>
        <x:v>17479.786</x:v>
      </x:c>
      <x:c r="AA36" s="34" t="n">
        <x:f>SUM(AA21:AA22)</x:f>
        <x:v>17479.786</x:v>
      </x:c>
      <x:c r="AB36" s="34" t="n">
        <x:f>SUM(AB21:AB22)</x:f>
        <x:v>17564.753</x:v>
      </x:c>
    </x:row>
    <x:row r="37" ht="21" customHeight="1">
      <x:c r="A37" s="2"/>
      <x:c r="B37" s="2"/>
      <x:c r="C37" s="2" t="str">
        <x:v>One-time program cash</x:v>
      </x:c>
      <x:c r="D37" s="60" t="n">
        <x:f>SUM(E37:AB37)</x:f>
        <x:v>475000</x:v>
      </x:c>
      <x:c r="E37" s="34" t="n">
        <x:f>E24</x:f>
        <x:v>23750</x:v>
      </x:c>
      <x:c r="F37" s="34" t="n">
        <x:f>F24</x:f>
        <x:v>28500</x:v>
      </x:c>
      <x:c r="G37" s="34" t="n">
        <x:f>G24</x:f>
        <x:v>38000</x:v>
      </x:c>
      <x:c r="H37" s="34" t="n">
        <x:f>H24</x:f>
        <x:v>42750</x:v>
      </x:c>
      <x:c r="I37" s="34" t="n">
        <x:f>I24</x:f>
        <x:v>47500</x:v>
      </x:c>
      <x:c r="J37" s="34" t="n">
        <x:f>J24</x:f>
        <x:v>47500</x:v>
      </x:c>
      <x:c r="K37" s="34" t="n">
        <x:f>K24</x:f>
        <x:v>47500</x:v>
      </x:c>
      <x:c r="L37" s="34" t="n">
        <x:f>L24</x:f>
        <x:v>42750</x:v>
      </x:c>
      <x:c r="M37" s="34" t="n">
        <x:f>M24</x:f>
        <x:v>38000</x:v>
      </x:c>
      <x:c r="N37" s="34" t="n">
        <x:f>N24</x:f>
        <x:v>33250</x:v>
      </x:c>
      <x:c r="O37" s="34" t="n">
        <x:f>O24</x:f>
        <x:v>47500</x:v>
      </x:c>
      <x:c r="P37" s="34" t="n">
        <x:f>P24</x:f>
        <x:v>38000</x:v>
      </x:c>
      <x:c r="Q37" s="34" t="n">
        <x:f>Q24</x:f>
        <x:v>0</x:v>
      </x:c>
      <x:c r="R37" s="34" t="n">
        <x:f>R24</x:f>
        <x:v>0</x:v>
      </x:c>
      <x:c r="S37" s="34" t="n">
        <x:f>S24</x:f>
        <x:v>0</x:v>
      </x:c>
      <x:c r="T37" s="34" t="n">
        <x:f>T24</x:f>
        <x:v>0</x:v>
      </x:c>
      <x:c r="U37" s="34" t="n">
        <x:f>U24</x:f>
        <x:v>0</x:v>
      </x:c>
      <x:c r="V37" s="34" t="n">
        <x:f>V24</x:f>
        <x:v>0</x:v>
      </x:c>
      <x:c r="W37" s="34" t="n">
        <x:f>W24</x:f>
        <x:v>0</x:v>
      </x:c>
      <x:c r="X37" s="34" t="n">
        <x:f>X24</x:f>
        <x:v>0</x:v>
      </x:c>
      <x:c r="Y37" s="34" t="n">
        <x:f>Y24</x:f>
        <x:v>0</x:v>
      </x:c>
      <x:c r="Z37" s="34" t="n">
        <x:f>Z24</x:f>
        <x:v>0</x:v>
      </x:c>
      <x:c r="AA37" s="34" t="n">
        <x:f>AA24</x:f>
        <x:v>0</x:v>
      </x:c>
      <x:c r="AB37" s="34" t="n">
        <x:f>AB24</x:f>
        <x:v>0</x:v>
      </x:c>
    </x:row>
    <x:row r="38" ht="21" customHeight="1">
      <x:c r="A38" s="2"/>
      <x:c r="B38" s="2"/>
      <x:c r="C38" s="2" t="str">
        <x:v>Corporate cash</x:v>
      </x:c>
      <x:c r="D38" s="60" t="n">
        <x:f>SUM(E38:AB38)</x:f>
        <x:v>192000</x:v>
      </x:c>
      <x:c r="E38" s="34" t="n">
        <x:f>E25</x:f>
        <x:v>8000</x:v>
      </x:c>
      <x:c r="F38" s="34" t="n">
        <x:f>F25</x:f>
        <x:v>8000</x:v>
      </x:c>
      <x:c r="G38" s="34" t="n">
        <x:f>G25</x:f>
        <x:v>8000</x:v>
      </x:c>
      <x:c r="H38" s="34" t="n">
        <x:f>H25</x:f>
        <x:v>8000</x:v>
      </x:c>
      <x:c r="I38" s="34" t="n">
        <x:f>I25</x:f>
        <x:v>8000</x:v>
      </x:c>
      <x:c r="J38" s="34" t="n">
        <x:f>J25</x:f>
        <x:v>8000</x:v>
      </x:c>
      <x:c r="K38" s="34" t="n">
        <x:f>K25</x:f>
        <x:v>8000</x:v>
      </x:c>
      <x:c r="L38" s="34" t="n">
        <x:f>L25</x:f>
        <x:v>8000</x:v>
      </x:c>
      <x:c r="M38" s="34" t="n">
        <x:f>M25</x:f>
        <x:v>8000</x:v>
      </x:c>
      <x:c r="N38" s="34" t="n">
        <x:f>N25</x:f>
        <x:v>8000</x:v>
      </x:c>
      <x:c r="O38" s="34" t="n">
        <x:f>O25</x:f>
        <x:v>8000</x:v>
      </x:c>
      <x:c r="P38" s="34" t="n">
        <x:f>P25</x:f>
        <x:v>8000</x:v>
      </x:c>
      <x:c r="Q38" s="34" t="n">
        <x:f>Q25</x:f>
        <x:v>8000</x:v>
      </x:c>
      <x:c r="R38" s="34" t="n">
        <x:f>R25</x:f>
        <x:v>8000</x:v>
      </x:c>
      <x:c r="S38" s="34" t="n">
        <x:f>S25</x:f>
        <x:v>8000</x:v>
      </x:c>
      <x:c r="T38" s="34" t="n">
        <x:f>T25</x:f>
        <x:v>8000</x:v>
      </x:c>
      <x:c r="U38" s="34" t="n">
        <x:f>U25</x:f>
        <x:v>8000</x:v>
      </x:c>
      <x:c r="V38" s="34" t="n">
        <x:f>V25</x:f>
        <x:v>8000</x:v>
      </x:c>
      <x:c r="W38" s="34" t="n">
        <x:f>W25</x:f>
        <x:v>8000</x:v>
      </x:c>
      <x:c r="X38" s="34" t="n">
        <x:f>X25</x:f>
        <x:v>8000</x:v>
      </x:c>
      <x:c r="Y38" s="34" t="n">
        <x:f>Y25</x:f>
        <x:v>8000</x:v>
      </x:c>
      <x:c r="Z38" s="34" t="n">
        <x:f>Z25</x:f>
        <x:v>8000</x:v>
      </x:c>
      <x:c r="AA38" s="34" t="n">
        <x:f>AA25</x:f>
        <x:v>8000</x:v>
      </x:c>
      <x:c r="AB38" s="34" t="n">
        <x:f>AB25</x:f>
        <x:v>8000</x:v>
      </x:c>
    </x:row>
    <x:row r="39" ht="21" customHeight="1">
      <x:c r="A39" s="2"/>
      <x:c r="B39" s="2"/>
      <x:c r="C39" s="2" t="str">
        <x:v>Fixed service cash</x:v>
      </x:c>
      <x:c r="D39" s="60" t="n">
        <x:f>SUM(E39:AB39)</x:f>
        <x:v>65000</x:v>
      </x:c>
      <x:c r="E39" s="34" t="n">
        <x:f>E26</x:f>
        <x:v>0</x:v>
      </x:c>
      <x:c r="F39" s="34" t="n">
        <x:f>F26</x:f>
        <x:v>0</x:v>
      </x:c>
      <x:c r="G39" s="34" t="n">
        <x:f>G26</x:f>
        <x:v>0</x:v>
      </x:c>
      <x:c r="H39" s="34" t="n">
        <x:f>H26</x:f>
        <x:v>0</x:v>
      </x:c>
      <x:c r="I39" s="34" t="n">
        <x:f>I26</x:f>
        <x:v>0</x:v>
      </x:c>
      <x:c r="J39" s="34" t="n">
        <x:f>J26</x:f>
        <x:v>0</x:v>
      </x:c>
      <x:c r="K39" s="34" t="n">
        <x:f>K26</x:f>
        <x:v>0</x:v>
      </x:c>
      <x:c r="L39" s="34" t="n">
        <x:f>L26</x:f>
        <x:v>0</x:v>
      </x:c>
      <x:c r="M39" s="34" t="n">
        <x:f>M26</x:f>
        <x:v>0</x:v>
      </x:c>
      <x:c r="N39" s="34" t="n">
        <x:f>N26</x:f>
        <x:v>0</x:v>
      </x:c>
      <x:c r="O39" s="34" t="n">
        <x:f>O26</x:f>
        <x:v>0</x:v>
      </x:c>
      <x:c r="P39" s="34" t="n">
        <x:f>P26</x:f>
        <x:v>5000</x:v>
      </x:c>
      <x:c r="Q39" s="34" t="n">
        <x:f>Q26</x:f>
        <x:v>5000</x:v>
      </x:c>
      <x:c r="R39" s="34" t="n">
        <x:f>R26</x:f>
        <x:v>5000</x:v>
      </x:c>
      <x:c r="S39" s="34" t="n">
        <x:f>S26</x:f>
        <x:v>5000</x:v>
      </x:c>
      <x:c r="T39" s="34" t="n">
        <x:f>T26</x:f>
        <x:v>5000</x:v>
      </x:c>
      <x:c r="U39" s="34" t="n">
        <x:f>U26</x:f>
        <x:v>5000</x:v>
      </x:c>
      <x:c r="V39" s="34" t="n">
        <x:f>V26</x:f>
        <x:v>5000</x:v>
      </x:c>
      <x:c r="W39" s="34" t="n">
        <x:f>W26</x:f>
        <x:v>5000</x:v>
      </x:c>
      <x:c r="X39" s="34" t="n">
        <x:f>X26</x:f>
        <x:v>5000</x:v>
      </x:c>
      <x:c r="Y39" s="34" t="n">
        <x:f>Y26</x:f>
        <x:v>5000</x:v>
      </x:c>
      <x:c r="Z39" s="34" t="n">
        <x:f>Z26</x:f>
        <x:v>5000</x:v>
      </x:c>
      <x:c r="AA39" s="34" t="n">
        <x:f>AA26</x:f>
        <x:v>5000</x:v>
      </x:c>
      <x:c r="AB39" s="34" t="n">
        <x:f>AB26</x:f>
        <x:v>5000</x:v>
      </x:c>
    </x:row>
    <x:row r="40" ht="24" customHeight="1">
      <x:c r="A40" s="2"/>
      <x:c r="B40" s="2"/>
      <x:c r="C40" s="28" t="str">
        <x:v>Total cash paid</x:v>
      </x:c>
      <x:c r="D40" s="61" t="n">
        <x:f>SUM(E40:AB40)</x:f>
        <x:v>1195606.063</x:v>
      </x:c>
      <x:c r="E40" s="33" t="n">
        <x:f>SUM(E33:E39)</x:f>
        <x:v>31750</x:v>
      </x:c>
      <x:c r="F40" s="33" t="n">
        <x:f>SUM(F33:F39)</x:f>
        <x:v>36500</x:v>
      </x:c>
      <x:c r="G40" s="33" t="n">
        <x:f>SUM(G33:G39)</x:f>
        <x:v>46000</x:v>
      </x:c>
      <x:c r="H40" s="33" t="n">
        <x:f>SUM(H33:H39)</x:f>
        <x:v>50750</x:v>
      </x:c>
      <x:c r="I40" s="33" t="n">
        <x:f>SUM(I33:I39)</x:f>
        <x:v>55500</x:v>
      </x:c>
      <x:c r="J40" s="33" t="n">
        <x:f>SUM(J33:J39)</x:f>
        <x:v>55500</x:v>
      </x:c>
      <x:c r="K40" s="33" t="n">
        <x:f>SUM(K33:K39)</x:f>
        <x:v>55500</x:v>
      </x:c>
      <x:c r="L40" s="33" t="n">
        <x:f>SUM(L33:L39)</x:f>
        <x:v>110386.99999999999</x:v>
      </x:c>
      <x:c r="M40" s="33" t="n">
        <x:f>SUM(M33:M39)</x:f>
        <x:v>46000</x:v>
      </x:c>
      <x:c r="N40" s="33" t="n">
        <x:f>SUM(N33:N39)</x:f>
        <x:v>180402.99999999997</x:v>
      </x:c>
      <x:c r="O40" s="33" t="n">
        <x:f>SUM(O33:O39)</x:f>
        <x:v>101700</x:v>
      </x:c>
      <x:c r="P40" s="33" t="n">
        <x:f>SUM(P33:P39)</x:f>
        <x:v>61941.482</x:v>
      </x:c>
      <x:c r="Q40" s="33" t="n">
        <x:f>SUM(Q33:Q39)</x:f>
        <x:v>28311.968</x:v>
      </x:c>
      <x:c r="R40" s="33" t="n">
        <x:f>SUM(R33:R39)</x:f>
        <x:v>30479.786</x:v>
      </x:c>
      <x:c r="S40" s="33" t="n">
        <x:f>SUM(S33:S39)</x:f>
        <x:v>30479.786</x:v>
      </x:c>
      <x:c r="T40" s="33" t="n">
        <x:f>SUM(T33:T39)</x:f>
        <x:v>30479.786</x:v>
      </x:c>
      <x:c r="U40" s="33" t="n">
        <x:f>SUM(U33:U39)</x:f>
        <x:v>30479.786</x:v>
      </x:c>
      <x:c r="V40" s="33" t="n">
        <x:f>SUM(V33:V39)</x:f>
        <x:v>30479.786</x:v>
      </x:c>
      <x:c r="W40" s="33" t="n">
        <x:f>SUM(W33:W39)</x:f>
        <x:v>30479.786</x:v>
      </x:c>
      <x:c r="X40" s="33" t="n">
        <x:f>SUM(X33:X39)</x:f>
        <x:v>30479.786</x:v>
      </x:c>
      <x:c r="Y40" s="33" t="n">
        <x:f>SUM(Y33:Y39)</x:f>
        <x:v>30479.786</x:v>
      </x:c>
      <x:c r="Z40" s="33" t="n">
        <x:f>SUM(Z33:Z39)</x:f>
        <x:v>30479.786</x:v>
      </x:c>
      <x:c r="AA40" s="33" t="n">
        <x:f>SUM(AA33:AA39)</x:f>
        <x:v>30479.786</x:v>
      </x:c>
      <x:c r="AB40" s="33" t="n">
        <x:f>SUM(AB33:AB39)</x:f>
        <x:v>30564.753</x:v>
      </x:c>
    </x:row>
    <x:row r="41" ht="21" customHeight="1">
      <x:c r="A41" s="2"/>
      <x:c r="B41" s="2"/>
      <x:c r="C41" s="2" t="str">
        <x:v>Net cash before financing</x:v>
      </x:c>
      <x:c r="D41" s="60" t="n">
        <x:f>SUM(E41:AB41)</x:f>
        <x:v>-559283.6630000003</x:v>
      </x:c>
      <x:c r="E41" s="34" t="n">
        <x:f>E31-E40</x:f>
        <x:v>-31750</x:v>
      </x:c>
      <x:c r="F41" s="34" t="n">
        <x:f>F31-F40</x:f>
        <x:v>-36500</x:v>
      </x:c>
      <x:c r="G41" s="34" t="n">
        <x:f>G31-G40</x:f>
        <x:v>-46000</x:v>
      </x:c>
      <x:c r="H41" s="34" t="n">
        <x:f>H31-H40</x:f>
        <x:v>-50750</x:v>
      </x:c>
      <x:c r="I41" s="34" t="n">
        <x:f>I31-I40</x:f>
        <x:v>-55500</x:v>
      </x:c>
      <x:c r="J41" s="34" t="n">
        <x:f>J31-J40</x:f>
        <x:v>-55500</x:v>
      </x:c>
      <x:c r="K41" s="34" t="n">
        <x:f>K31-K40</x:f>
        <x:v>-55500</x:v>
      </x:c>
      <x:c r="L41" s="34" t="n">
        <x:f>L31-L40</x:f>
        <x:v>-110386.99999999999</x:v>
      </x:c>
      <x:c r="M41" s="34" t="n">
        <x:f>M31-M40</x:f>
        <x:v>-46000</x:v>
      </x:c>
      <x:c r="N41" s="34" t="n">
        <x:f>N31-N40</x:f>
        <x:v>-180402.99999999997</x:v>
      </x:c>
      <x:c r="O41" s="34" t="n">
        <x:f>O31-O40</x:f>
        <x:v>-101700</x:v>
      </x:c>
      <x:c r="P41" s="34" t="n">
        <x:f>P31-P40</x:f>
        <x:v>-35792.882000000005</x:v>
      </x:c>
      <x:c r="Q41" s="34" t="n">
        <x:f>Q31-Q40</x:f>
        <x:v>14393.432</x:v>
      </x:c>
      <x:c r="R41" s="34" t="n">
        <x:f>R31-R40</x:f>
        <x:v>20006.513999999996</x:v>
      </x:c>
      <x:c r="S41" s="34" t="n">
        <x:f>S31-S40</x:f>
        <x:v>21200.513999999996</x:v>
      </x:c>
      <x:c r="T41" s="34" t="n">
        <x:f>T31-T40</x:f>
        <x:v>21200.513999999996</x:v>
      </x:c>
      <x:c r="U41" s="34" t="n">
        <x:f>U31-U40</x:f>
        <x:v>21200.513999999996</x:v>
      </x:c>
      <x:c r="V41" s="34" t="n">
        <x:f>V31-V40</x:f>
        <x:v>21200.513999999996</x:v>
      </x:c>
      <x:c r="W41" s="34" t="n">
        <x:f>W31-W40</x:f>
        <x:v>21200.513999999996</x:v>
      </x:c>
      <x:c r="X41" s="34" t="n">
        <x:f>X31-X40</x:f>
        <x:v>21200.513999999996</x:v>
      </x:c>
      <x:c r="Y41" s="34" t="n">
        <x:f>Y31-Y40</x:f>
        <x:v>21200.513999999996</x:v>
      </x:c>
      <x:c r="Z41" s="34" t="n">
        <x:f>Z31-Z40</x:f>
        <x:v>21200.513999999996</x:v>
      </x:c>
      <x:c r="AA41" s="34" t="n">
        <x:f>AA31-AA40</x:f>
        <x:v>21200.513999999996</x:v>
      </x:c>
      <x:c r="AB41" s="34" t="n">
        <x:f>AB31-AB40</x:f>
        <x:v>21294.647</x:v>
      </x:c>
    </x:row>
    <x:row r="42" ht="24" customHeight="1">
      <x:c r="A42" s="2"/>
      <x:c r="B42" s="2"/>
      <x:c r="C42" s="28" t="str">
        <x:v>Cumulative cash before financing</x:v>
      </x:c>
      <x:c r="D42" s="61" t="n">
        <x:f>AB42</x:f>
        <x:v>-559283.6630000003</x:v>
      </x:c>
      <x:c r="E42" s="33" t="n">
        <x:f>E41</x:f>
        <x:v>-31750</x:v>
      </x:c>
      <x:c r="F42" s="33" t="n">
        <x:f>E42+F41</x:f>
        <x:v>-68250</x:v>
      </x:c>
      <x:c r="G42" s="33" t="n">
        <x:f>F42+G41</x:f>
        <x:v>-114250</x:v>
      </x:c>
      <x:c r="H42" s="33" t="n">
        <x:f>G42+H41</x:f>
        <x:v>-165000</x:v>
      </x:c>
      <x:c r="I42" s="33" t="n">
        <x:f>H42+I41</x:f>
        <x:v>-220500</x:v>
      </x:c>
      <x:c r="J42" s="33" t="n">
        <x:f>I42+J41</x:f>
        <x:v>-276000</x:v>
      </x:c>
      <x:c r="K42" s="33" t="n">
        <x:f>J42+K41</x:f>
        <x:v>-331500</x:v>
      </x:c>
      <x:c r="L42" s="33" t="n">
        <x:f>K42+L41</x:f>
        <x:v>-441887</x:v>
      </x:c>
      <x:c r="M42" s="33" t="n">
        <x:f>L42+M41</x:f>
        <x:v>-487887</x:v>
      </x:c>
      <x:c r="N42" s="33" t="n">
        <x:f>M42+N41</x:f>
        <x:v>-668290</x:v>
      </x:c>
      <x:c r="O42" s="33" t="n">
        <x:f>N42+O41</x:f>
        <x:v>-769990</x:v>
      </x:c>
      <x:c r="P42" s="33" t="n">
        <x:f>O42+P41</x:f>
        <x:v>-805782.882</x:v>
      </x:c>
      <x:c r="Q42" s="33" t="n">
        <x:f>P42+Q41</x:f>
        <x:v>-791389.45</x:v>
      </x:c>
      <x:c r="R42" s="33" t="n">
        <x:f>Q42+R41</x:f>
        <x:v>-771382.936</x:v>
      </x:c>
      <x:c r="S42" s="33" t="n">
        <x:f>R42+S41</x:f>
        <x:v>-750182.422</x:v>
      </x:c>
      <x:c r="T42" s="33" t="n">
        <x:f>S42+T41</x:f>
        <x:v>-728981.908</x:v>
      </x:c>
      <x:c r="U42" s="33" t="n">
        <x:f>T42+U41</x:f>
        <x:v>-707781.3940000001</x:v>
      </x:c>
      <x:c r="V42" s="33" t="n">
        <x:f>U42+V41</x:f>
        <x:v>-686580.8800000001</x:v>
      </x:c>
      <x:c r="W42" s="33" t="n">
        <x:f>V42+W41</x:f>
        <x:v>-665380.3660000002</x:v>
      </x:c>
      <x:c r="X42" s="33" t="n">
        <x:f>W42+X41</x:f>
        <x:v>-644179.8520000002</x:v>
      </x:c>
      <x:c r="Y42" s="33" t="n">
        <x:f>X42+Y41</x:f>
        <x:v>-622979.3380000002</x:v>
      </x:c>
      <x:c r="Z42" s="33" t="n">
        <x:f>Y42+Z41</x:f>
        <x:v>-601778.8240000003</x:v>
      </x:c>
      <x:c r="AA42" s="33" t="n">
        <x:f>Z42+AA41</x:f>
        <x:v>-580578.3100000003</x:v>
      </x:c>
      <x:c r="AB42" s="33" t="n">
        <x:f>AA42+AB41</x:f>
        <x:v>-559283.6630000003</x:v>
      </x:c>
    </x:row>
    <x:row r="43" ht="21" customHeight="1">
      <x:c r="A43" s="2"/>
      <x:c r="B43" s="2"/>
      <x:c r="C43" s="2" t="str">
        <x:v>Program and inventory cash cushions</x:v>
      </x:c>
      <x:c r="D43" s="60" t="n">
        <x:f>AB43</x:f>
        <x:v>143998</x:v>
      </x:c>
      <x:c r="E43" s="32" t="n">
        <x:f>'Investment'!$E$13+'BOM'!$E$36*'Assumptions'!$E$15*'Assumptions'!$E$89</x:f>
        <x:v>143998</x:v>
      </x:c>
      <x:c r="F43" s="32" t="n">
        <x:f>'Investment'!$E$13+'BOM'!$E$36*'Assumptions'!$E$15*'Assumptions'!$E$89</x:f>
        <x:v>143998</x:v>
      </x:c>
      <x:c r="G43" s="32" t="n">
        <x:f>'Investment'!$E$13+'BOM'!$E$36*'Assumptions'!$E$15*'Assumptions'!$E$89</x:f>
        <x:v>143998</x:v>
      </x:c>
      <x:c r="H43" s="32" t="n">
        <x:f>'Investment'!$E$13+'BOM'!$E$36*'Assumptions'!$E$15*'Assumptions'!$E$89</x:f>
        <x:v>143998</x:v>
      </x:c>
      <x:c r="I43" s="32" t="n">
        <x:f>'Investment'!$E$13+'BOM'!$E$36*'Assumptions'!$E$15*'Assumptions'!$E$89</x:f>
        <x:v>143998</x:v>
      </x:c>
      <x:c r="J43" s="32" t="n">
        <x:f>'Investment'!$E$13+'BOM'!$E$36*'Assumptions'!$E$15*'Assumptions'!$E$89</x:f>
        <x:v>143998</x:v>
      </x:c>
      <x:c r="K43" s="32" t="n">
        <x:f>'Investment'!$E$13+'BOM'!$E$36*'Assumptions'!$E$15*'Assumptions'!$E$89</x:f>
        <x:v>143998</x:v>
      </x:c>
      <x:c r="L43" s="32" t="n">
        <x:f>'Investment'!$E$13+'BOM'!$E$36*'Assumptions'!$E$15*'Assumptions'!$E$89</x:f>
        <x:v>143998</x:v>
      </x:c>
      <x:c r="M43" s="32" t="n">
        <x:f>'Investment'!$E$13+'BOM'!$E$36*'Assumptions'!$E$15*'Assumptions'!$E$89</x:f>
        <x:v>143998</x:v>
      </x:c>
      <x:c r="N43" s="32" t="n">
        <x:f>'Investment'!$E$13+'BOM'!$E$36*'Assumptions'!$E$15*'Assumptions'!$E$89</x:f>
        <x:v>143998</x:v>
      </x:c>
      <x:c r="O43" s="32" t="n">
        <x:f>'Investment'!$E$13+'BOM'!$E$36*'Assumptions'!$E$15*'Assumptions'!$E$89</x:f>
        <x:v>143998</x:v>
      </x:c>
      <x:c r="P43" s="32" t="n">
        <x:f>'Investment'!$E$13+'BOM'!$E$36*'Assumptions'!$E$15*'Assumptions'!$E$89</x:f>
        <x:v>143998</x:v>
      </x:c>
      <x:c r="Q43" s="32" t="n">
        <x:f>'Investment'!$E$13+'BOM'!$E$36*'Assumptions'!$E$15*'Assumptions'!$E$89</x:f>
        <x:v>143998</x:v>
      </x:c>
      <x:c r="R43" s="32" t="n">
        <x:f>'Investment'!$E$13+'BOM'!$E$36*'Assumptions'!$E$15*'Assumptions'!$E$89</x:f>
        <x:v>143998</x:v>
      </x:c>
      <x:c r="S43" s="32" t="n">
        <x:f>'Investment'!$E$13+'BOM'!$E$36*'Assumptions'!$E$15*'Assumptions'!$E$89</x:f>
        <x:v>143998</x:v>
      </x:c>
      <x:c r="T43" s="32" t="n">
        <x:f>'Investment'!$E$13+'BOM'!$E$36*'Assumptions'!$E$15*'Assumptions'!$E$89</x:f>
        <x:v>143998</x:v>
      </x:c>
      <x:c r="U43" s="32" t="n">
        <x:f>'Investment'!$E$13+'BOM'!$E$36*'Assumptions'!$E$15*'Assumptions'!$E$89</x:f>
        <x:v>143998</x:v>
      </x:c>
      <x:c r="V43" s="32" t="n">
        <x:f>'Investment'!$E$13+'BOM'!$E$36*'Assumptions'!$E$15*'Assumptions'!$E$89</x:f>
        <x:v>143998</x:v>
      </x:c>
      <x:c r="W43" s="32" t="n">
        <x:f>'Investment'!$E$13+'BOM'!$E$36*'Assumptions'!$E$15*'Assumptions'!$E$89</x:f>
        <x:v>143998</x:v>
      </x:c>
      <x:c r="X43" s="32" t="n">
        <x:f>'Investment'!$E$13+'BOM'!$E$36*'Assumptions'!$E$15*'Assumptions'!$E$89</x:f>
        <x:v>143998</x:v>
      </x:c>
      <x:c r="Y43" s="32" t="n">
        <x:f>'Investment'!$E$13+'BOM'!$E$36*'Assumptions'!$E$15*'Assumptions'!$E$89</x:f>
        <x:v>143998</x:v>
      </x:c>
      <x:c r="Z43" s="32" t="n">
        <x:f>'Investment'!$E$13+'BOM'!$E$36*'Assumptions'!$E$15*'Assumptions'!$E$89</x:f>
        <x:v>143998</x:v>
      </x:c>
      <x:c r="AA43" s="32" t="n">
        <x:f>'Investment'!$E$13+'BOM'!$E$36*'Assumptions'!$E$15*'Assumptions'!$E$89</x:f>
        <x:v>143998</x:v>
      </x:c>
      <x:c r="AB43" s="32" t="n">
        <x:f>'Investment'!$E$13+'BOM'!$E$36*'Assumptions'!$E$15*'Assumptions'!$E$89</x:f>
        <x:v>143998</x:v>
      </x:c>
    </x:row>
    <x:row r="44" ht="21" customHeight="1">
      <x:c r="A44" s="2"/>
      <x:c r="B44" s="2"/>
      <x:c r="C44" s="2" t="str">
        <x:v>Remaining fixed service commitment</x:v>
      </x:c>
      <x:c r="D44" s="60" t="n">
        <x:f>AB44</x:f>
        <x:v>235000</x:v>
      </x:c>
      <x:c r="E44" s="32" t="n">
        <x:f>IF(E$5&gt;='Assumptions'!$E$45,MAX(0,'Assumptions'!$E$85-E7)*'Assumptions'!$E$84,0)</x:f>
        <x:v>0</x:v>
      </x:c>
      <x:c r="F44" s="32" t="n">
        <x:f>IF(F$5&gt;='Assumptions'!$E$45,MAX(0,'Assumptions'!$E$85-F7)*'Assumptions'!$E$84,0)</x:f>
        <x:v>0</x:v>
      </x:c>
      <x:c r="G44" s="32" t="n">
        <x:f>IF(G$5&gt;='Assumptions'!$E$45,MAX(0,'Assumptions'!$E$85-G7)*'Assumptions'!$E$84,0)</x:f>
        <x:v>0</x:v>
      </x:c>
      <x:c r="H44" s="32" t="n">
        <x:f>IF(H$5&gt;='Assumptions'!$E$45,MAX(0,'Assumptions'!$E$85-H7)*'Assumptions'!$E$84,0)</x:f>
        <x:v>0</x:v>
      </x:c>
      <x:c r="I44" s="32" t="n">
        <x:f>IF(I$5&gt;='Assumptions'!$E$45,MAX(0,'Assumptions'!$E$85-I7)*'Assumptions'!$E$84,0)</x:f>
        <x:v>0</x:v>
      </x:c>
      <x:c r="J44" s="32" t="n">
        <x:f>IF(J$5&gt;='Assumptions'!$E$45,MAX(0,'Assumptions'!$E$85-J7)*'Assumptions'!$E$84,0)</x:f>
        <x:v>0</x:v>
      </x:c>
      <x:c r="K44" s="32" t="n">
        <x:f>IF(K$5&gt;='Assumptions'!$E$45,MAX(0,'Assumptions'!$E$85-K7)*'Assumptions'!$E$84,0)</x:f>
        <x:v>0</x:v>
      </x:c>
      <x:c r="L44" s="32" t="n">
        <x:f>IF(L$5&gt;='Assumptions'!$E$45,MAX(0,'Assumptions'!$E$85-L7)*'Assumptions'!$E$84,0)</x:f>
        <x:v>0</x:v>
      </x:c>
      <x:c r="M44" s="32" t="n">
        <x:f>IF(M$5&gt;='Assumptions'!$E$45,MAX(0,'Assumptions'!$E$85-M7)*'Assumptions'!$E$84,0)</x:f>
        <x:v>0</x:v>
      </x:c>
      <x:c r="N44" s="32" t="n">
        <x:f>IF(N$5&gt;='Assumptions'!$E$45,MAX(0,'Assumptions'!$E$85-N7)*'Assumptions'!$E$84,0)</x:f>
        <x:v>0</x:v>
      </x:c>
      <x:c r="O44" s="32" t="n">
        <x:f>IF(O$5&gt;='Assumptions'!$E$45,MAX(0,'Assumptions'!$E$85-O7)*'Assumptions'!$E$84,0)</x:f>
        <x:v>0</x:v>
      </x:c>
      <x:c r="P44" s="32" t="n">
        <x:f>IF(P$5&gt;='Assumptions'!$E$45,MAX(0,'Assumptions'!$E$85-P7)*'Assumptions'!$E$84,0)</x:f>
        <x:v>295000</x:v>
      </x:c>
      <x:c r="Q44" s="32" t="n">
        <x:f>IF(Q$5&gt;='Assumptions'!$E$45,MAX(0,'Assumptions'!$E$85-Q7)*'Assumptions'!$E$84,0)</x:f>
        <x:v>290000</x:v>
      </x:c>
      <x:c r="R44" s="32" t="n">
        <x:f>IF(R$5&gt;='Assumptions'!$E$45,MAX(0,'Assumptions'!$E$85-R7)*'Assumptions'!$E$84,0)</x:f>
        <x:v>285000</x:v>
      </x:c>
      <x:c r="S44" s="32" t="n">
        <x:f>IF(S$5&gt;='Assumptions'!$E$45,MAX(0,'Assumptions'!$E$85-S7)*'Assumptions'!$E$84,0)</x:f>
        <x:v>280000</x:v>
      </x:c>
      <x:c r="T44" s="32" t="n">
        <x:f>IF(T$5&gt;='Assumptions'!$E$45,MAX(0,'Assumptions'!$E$85-T7)*'Assumptions'!$E$84,0)</x:f>
        <x:v>275000</x:v>
      </x:c>
      <x:c r="U44" s="32" t="n">
        <x:f>IF(U$5&gt;='Assumptions'!$E$45,MAX(0,'Assumptions'!$E$85-U7)*'Assumptions'!$E$84,0)</x:f>
        <x:v>270000</x:v>
      </x:c>
      <x:c r="V44" s="32" t="n">
        <x:f>IF(V$5&gt;='Assumptions'!$E$45,MAX(0,'Assumptions'!$E$85-V7)*'Assumptions'!$E$84,0)</x:f>
        <x:v>265000</x:v>
      </x:c>
      <x:c r="W44" s="32" t="n">
        <x:f>IF(W$5&gt;='Assumptions'!$E$45,MAX(0,'Assumptions'!$E$85-W7)*'Assumptions'!$E$84,0)</x:f>
        <x:v>260000</x:v>
      </x:c>
      <x:c r="X44" s="32" t="n">
        <x:f>IF(X$5&gt;='Assumptions'!$E$45,MAX(0,'Assumptions'!$E$85-X7)*'Assumptions'!$E$84,0)</x:f>
        <x:v>255000</x:v>
      </x:c>
      <x:c r="Y44" s="32" t="n">
        <x:f>IF(Y$5&gt;='Assumptions'!$E$45,MAX(0,'Assumptions'!$E$85-Y7)*'Assumptions'!$E$84,0)</x:f>
        <x:v>250000</x:v>
      </x:c>
      <x:c r="Z44" s="32" t="n">
        <x:f>IF(Z$5&gt;='Assumptions'!$E$45,MAX(0,'Assumptions'!$E$85-Z7)*'Assumptions'!$E$84,0)</x:f>
        <x:v>245000</x:v>
      </x:c>
      <x:c r="AA44" s="32" t="n">
        <x:f>IF(AA$5&gt;='Assumptions'!$E$45,MAX(0,'Assumptions'!$E$85-AA7)*'Assumptions'!$E$84,0)</x:f>
        <x:v>240000</x:v>
      </x:c>
      <x:c r="AB44" s="32" t="n">
        <x:f>IF(AB$5&gt;='Assumptions'!$E$45,MAX(0,'Assumptions'!$E$85-AB7)*'Assumptions'!$E$84,0)</x:f>
        <x:v>235000</x:v>
      </x:c>
    </x:row>
    <x:row r="45" ht="21" customHeight="1">
      <x:c r="A45" s="2"/>
      <x:c r="B45" s="2"/>
      <x:c r="C45" s="2" t="str">
        <x:v>End-of-service ringfence</x:v>
      </x:c>
      <x:c r="D45" s="60" t="n">
        <x:f>AB45</x:f>
        <x:v>25000</x:v>
      </x:c>
      <x:c r="E45" s="32" t="n">
        <x:f>IF(E$5&gt;='Assumptions'!$E$45,'Assumptions'!$E$86,0)</x:f>
        <x:v>0</x:v>
      </x:c>
      <x:c r="F45" s="32" t="n">
        <x:f>IF(F$5&gt;='Assumptions'!$E$45,'Assumptions'!$E$86,0)</x:f>
        <x:v>0</x:v>
      </x:c>
      <x:c r="G45" s="32" t="n">
        <x:f>IF(G$5&gt;='Assumptions'!$E$45,'Assumptions'!$E$86,0)</x:f>
        <x:v>0</x:v>
      </x:c>
      <x:c r="H45" s="32" t="n">
        <x:f>IF(H$5&gt;='Assumptions'!$E$45,'Assumptions'!$E$86,0)</x:f>
        <x:v>0</x:v>
      </x:c>
      <x:c r="I45" s="32" t="n">
        <x:f>IF(I$5&gt;='Assumptions'!$E$45,'Assumptions'!$E$86,0)</x:f>
        <x:v>0</x:v>
      </x:c>
      <x:c r="J45" s="32" t="n">
        <x:f>IF(J$5&gt;='Assumptions'!$E$45,'Assumptions'!$E$86,0)</x:f>
        <x:v>0</x:v>
      </x:c>
      <x:c r="K45" s="32" t="n">
        <x:f>IF(K$5&gt;='Assumptions'!$E$45,'Assumptions'!$E$86,0)</x:f>
        <x:v>0</x:v>
      </x:c>
      <x:c r="L45" s="32" t="n">
        <x:f>IF(L$5&gt;='Assumptions'!$E$45,'Assumptions'!$E$86,0)</x:f>
        <x:v>0</x:v>
      </x:c>
      <x:c r="M45" s="32" t="n">
        <x:f>IF(M$5&gt;='Assumptions'!$E$45,'Assumptions'!$E$86,0)</x:f>
        <x:v>0</x:v>
      </x:c>
      <x:c r="N45" s="32" t="n">
        <x:f>IF(N$5&gt;='Assumptions'!$E$45,'Assumptions'!$E$86,0)</x:f>
        <x:v>0</x:v>
      </x:c>
      <x:c r="O45" s="32" t="n">
        <x:f>IF(O$5&gt;='Assumptions'!$E$45,'Assumptions'!$E$86,0)</x:f>
        <x:v>0</x:v>
      </x:c>
      <x:c r="P45" s="32" t="n">
        <x:f>IF(P$5&gt;='Assumptions'!$E$45,'Assumptions'!$E$86,0)</x:f>
        <x:v>25000</x:v>
      </x:c>
      <x:c r="Q45" s="32" t="n">
        <x:f>IF(Q$5&gt;='Assumptions'!$E$45,'Assumptions'!$E$86,0)</x:f>
        <x:v>25000</x:v>
      </x:c>
      <x:c r="R45" s="32" t="n">
        <x:f>IF(R$5&gt;='Assumptions'!$E$45,'Assumptions'!$E$86,0)</x:f>
        <x:v>25000</x:v>
      </x:c>
      <x:c r="S45" s="32" t="n">
        <x:f>IF(S$5&gt;='Assumptions'!$E$45,'Assumptions'!$E$86,0)</x:f>
        <x:v>25000</x:v>
      </x:c>
      <x:c r="T45" s="32" t="n">
        <x:f>IF(T$5&gt;='Assumptions'!$E$45,'Assumptions'!$E$86,0)</x:f>
        <x:v>25000</x:v>
      </x:c>
      <x:c r="U45" s="32" t="n">
        <x:f>IF(U$5&gt;='Assumptions'!$E$45,'Assumptions'!$E$86,0)</x:f>
        <x:v>25000</x:v>
      </x:c>
      <x:c r="V45" s="32" t="n">
        <x:f>IF(V$5&gt;='Assumptions'!$E$45,'Assumptions'!$E$86,0)</x:f>
        <x:v>25000</x:v>
      </x:c>
      <x:c r="W45" s="32" t="n">
        <x:f>IF(W$5&gt;='Assumptions'!$E$45,'Assumptions'!$E$86,0)</x:f>
        <x:v>25000</x:v>
      </x:c>
      <x:c r="X45" s="32" t="n">
        <x:f>IF(X$5&gt;='Assumptions'!$E$45,'Assumptions'!$E$86,0)</x:f>
        <x:v>25000</x:v>
      </x:c>
      <x:c r="Y45" s="32" t="n">
        <x:f>IF(Y$5&gt;='Assumptions'!$E$45,'Assumptions'!$E$86,0)</x:f>
        <x:v>25000</x:v>
      </x:c>
      <x:c r="Z45" s="32" t="n">
        <x:f>IF(Z$5&gt;='Assumptions'!$E$45,'Assumptions'!$E$86,0)</x:f>
        <x:v>25000</x:v>
      </x:c>
      <x:c r="AA45" s="32" t="n">
        <x:f>IF(AA$5&gt;='Assumptions'!$E$45,'Assumptions'!$E$86,0)</x:f>
        <x:v>25000</x:v>
      </x:c>
      <x:c r="AB45" s="32" t="n">
        <x:f>IF(AB$5&gt;='Assumptions'!$E$45,'Assumptions'!$E$86,0)</x:f>
        <x:v>25000</x:v>
      </x:c>
    </x:row>
    <x:row r="46" ht="24" customHeight="1">
      <x:c r="A46" s="2"/>
      <x:c r="B46" s="2"/>
      <x:c r="C46" s="28" t="str">
        <x:v>Total protected cash / reserves</x:v>
      </x:c>
      <x:c r="D46" s="61" t="n">
        <x:f>AB46</x:f>
        <x:v>403998</x:v>
      </x:c>
      <x:c r="E46" s="33" t="n">
        <x:f>SUM(E43:E45)</x:f>
        <x:v>143998</x:v>
      </x:c>
      <x:c r="F46" s="33" t="n">
        <x:f>SUM(F43:F45)</x:f>
        <x:v>143998</x:v>
      </x:c>
      <x:c r="G46" s="33" t="n">
        <x:f>SUM(G43:G45)</x:f>
        <x:v>143998</x:v>
      </x:c>
      <x:c r="H46" s="33" t="n">
        <x:f>SUM(H43:H45)</x:f>
        <x:v>143998</x:v>
      </x:c>
      <x:c r="I46" s="33" t="n">
        <x:f>SUM(I43:I45)</x:f>
        <x:v>143998</x:v>
      </x:c>
      <x:c r="J46" s="33" t="n">
        <x:f>SUM(J43:J45)</x:f>
        <x:v>143998</x:v>
      </x:c>
      <x:c r="K46" s="33" t="n">
        <x:f>SUM(K43:K45)</x:f>
        <x:v>143998</x:v>
      </x:c>
      <x:c r="L46" s="33" t="n">
        <x:f>SUM(L43:L45)</x:f>
        <x:v>143998</x:v>
      </x:c>
      <x:c r="M46" s="33" t="n">
        <x:f>SUM(M43:M45)</x:f>
        <x:v>143998</x:v>
      </x:c>
      <x:c r="N46" s="33" t="n">
        <x:f>SUM(N43:N45)</x:f>
        <x:v>143998</x:v>
      </x:c>
      <x:c r="O46" s="33" t="n">
        <x:f>SUM(O43:O45)</x:f>
        <x:v>143998</x:v>
      </x:c>
      <x:c r="P46" s="33" t="n">
        <x:f>SUM(P43:P45)</x:f>
        <x:v>463998</x:v>
      </x:c>
      <x:c r="Q46" s="33" t="n">
        <x:f>SUM(Q43:Q45)</x:f>
        <x:v>458998</x:v>
      </x:c>
      <x:c r="R46" s="33" t="n">
        <x:f>SUM(R43:R45)</x:f>
        <x:v>453998</x:v>
      </x:c>
      <x:c r="S46" s="33" t="n">
        <x:f>SUM(S43:S45)</x:f>
        <x:v>448998</x:v>
      </x:c>
      <x:c r="T46" s="33" t="n">
        <x:f>SUM(T43:T45)</x:f>
        <x:v>443998</x:v>
      </x:c>
      <x:c r="U46" s="33" t="n">
        <x:f>SUM(U43:U45)</x:f>
        <x:v>438998</x:v>
      </x:c>
      <x:c r="V46" s="33" t="n">
        <x:f>SUM(V43:V45)</x:f>
        <x:v>433998</x:v>
      </x:c>
      <x:c r="W46" s="33" t="n">
        <x:f>SUM(W43:W45)</x:f>
        <x:v>428998</x:v>
      </x:c>
      <x:c r="X46" s="33" t="n">
        <x:f>SUM(X43:X45)</x:f>
        <x:v>423998</x:v>
      </x:c>
      <x:c r="Y46" s="33" t="n">
        <x:f>SUM(Y43:Y45)</x:f>
        <x:v>418998</x:v>
      </x:c>
      <x:c r="Z46" s="33" t="n">
        <x:f>SUM(Z43:Z45)</x:f>
        <x:v>413998</x:v>
      </x:c>
      <x:c r="AA46" s="33" t="n">
        <x:f>SUM(AA43:AA45)</x:f>
        <x:v>408998</x:v>
      </x:c>
      <x:c r="AB46" s="33" t="n">
        <x:f>SUM(AB43:AB45)</x:f>
        <x:v>403998</x:v>
      </x:c>
    </x:row>
    <x:row r="47" ht="24" customHeight="1">
      <x:c r="A47" s="2"/>
      <x:c r="B47" s="2"/>
      <x:c r="C47" s="28" t="str">
        <x:v>Cash after reserves and cushions</x:v>
      </x:c>
      <x:c r="D47" s="61" t="n">
        <x:f>AB47</x:f>
        <x:v>-963281.6630000003</x:v>
      </x:c>
      <x:c r="E47" s="33" t="n">
        <x:f>E42-E46</x:f>
        <x:v>-175748</x:v>
      </x:c>
      <x:c r="F47" s="33" t="n">
        <x:f>F42-F46</x:f>
        <x:v>-212248</x:v>
      </x:c>
      <x:c r="G47" s="33" t="n">
        <x:f>G42-G46</x:f>
        <x:v>-258248</x:v>
      </x:c>
      <x:c r="H47" s="33" t="n">
        <x:f>H42-H46</x:f>
        <x:v>-308998</x:v>
      </x:c>
      <x:c r="I47" s="33" t="n">
        <x:f>I42-I46</x:f>
        <x:v>-364498</x:v>
      </x:c>
      <x:c r="J47" s="33" t="n">
        <x:f>J42-J46</x:f>
        <x:v>-419998</x:v>
      </x:c>
      <x:c r="K47" s="33" t="n">
        <x:f>K42-K46</x:f>
        <x:v>-475498</x:v>
      </x:c>
      <x:c r="L47" s="33" t="n">
        <x:f>L42-L46</x:f>
        <x:v>-585885</x:v>
      </x:c>
      <x:c r="M47" s="33" t="n">
        <x:f>M42-M46</x:f>
        <x:v>-631885</x:v>
      </x:c>
      <x:c r="N47" s="33" t="n">
        <x:f>N42-N46</x:f>
        <x:v>-812288</x:v>
      </x:c>
      <x:c r="O47" s="33" t="n">
        <x:f>O42-O46</x:f>
        <x:v>-913988</x:v>
      </x:c>
      <x:c r="P47" s="33" t="n">
        <x:f>P42-P46</x:f>
        <x:v>-1269780.882</x:v>
      </x:c>
      <x:c r="Q47" s="33" t="n">
        <x:f>Q42-Q46</x:f>
        <x:v>-1250387.45</x:v>
      </x:c>
      <x:c r="R47" s="33" t="n">
        <x:f>R42-R46</x:f>
        <x:v>-1225380.936</x:v>
      </x:c>
      <x:c r="S47" s="33" t="n">
        <x:f>S42-S46</x:f>
        <x:v>-1199180.422</x:v>
      </x:c>
      <x:c r="T47" s="33" t="n">
        <x:f>T42-T46</x:f>
        <x:v>-1172979.908</x:v>
      </x:c>
      <x:c r="U47" s="33" t="n">
        <x:f>U42-U46</x:f>
        <x:v>-1146779.394</x:v>
      </x:c>
      <x:c r="V47" s="33" t="n">
        <x:f>V42-V46</x:f>
        <x:v>-1120578.8800000001</x:v>
      </x:c>
      <x:c r="W47" s="33" t="n">
        <x:f>W42-W46</x:f>
        <x:v>-1094378.3660000002</x:v>
      </x:c>
      <x:c r="X47" s="33" t="n">
        <x:f>X42-X46</x:f>
        <x:v>-1068177.8520000002</x:v>
      </x:c>
      <x:c r="Y47" s="33" t="n">
        <x:f>Y42-Y46</x:f>
        <x:v>-1041977.3380000002</x:v>
      </x:c>
      <x:c r="Z47" s="33" t="n">
        <x:f>Z42-Z46</x:f>
        <x:v>-1015776.8240000003</x:v>
      </x:c>
      <x:c r="AA47" s="33" t="n">
        <x:f>AA42-AA46</x:f>
        <x:v>-989576.3100000003</x:v>
      </x:c>
      <x:c r="AB47" s="33" t="n">
        <x:f>AB42-AB46</x:f>
        <x:v>-963281.6630000003</x:v>
      </x:c>
    </x:row>
    <x:row r="48" ht="24" customHeight="1">
      <x:c r="A48" s="2"/>
      <x:c r="B48" s="2"/>
      <x:c r="C48" s="28" t="str">
        <x:v>Peak funding need to date</x:v>
      </x:c>
      <x:c r="D48" s="61" t="n">
        <x:f>AB48</x:f>
        <x:v>1269780.882</x:v>
      </x:c>
      <x:c r="E48" s="33" t="n">
        <x:f>MAX(0,-MIN($E$47:E47))</x:f>
        <x:v>175748</x:v>
      </x:c>
      <x:c r="F48" s="33" t="n">
        <x:f>MAX(0,-MIN($E$47:F47))</x:f>
        <x:v>212248</x:v>
      </x:c>
      <x:c r="G48" s="33" t="n">
        <x:f>MAX(0,-MIN($E$47:G47))</x:f>
        <x:v>258248</x:v>
      </x:c>
      <x:c r="H48" s="33" t="n">
        <x:f>MAX(0,-MIN($E$47:H47))</x:f>
        <x:v>308998</x:v>
      </x:c>
      <x:c r="I48" s="33" t="n">
        <x:f>MAX(0,-MIN($E$47:I47))</x:f>
        <x:v>364498</x:v>
      </x:c>
      <x:c r="J48" s="33" t="n">
        <x:f>MAX(0,-MIN($E$47:J47))</x:f>
        <x:v>419998</x:v>
      </x:c>
      <x:c r="K48" s="33" t="n">
        <x:f>MAX(0,-MIN($E$47:K47))</x:f>
        <x:v>475498</x:v>
      </x:c>
      <x:c r="L48" s="33" t="n">
        <x:f>MAX(0,-MIN($E$47:L47))</x:f>
        <x:v>585885</x:v>
      </x:c>
      <x:c r="M48" s="33" t="n">
        <x:f>MAX(0,-MIN($E$47:M47))</x:f>
        <x:v>631885</x:v>
      </x:c>
      <x:c r="N48" s="33" t="n">
        <x:f>MAX(0,-MIN($E$47:N47))</x:f>
        <x:v>812288</x:v>
      </x:c>
      <x:c r="O48" s="33" t="n">
        <x:f>MAX(0,-MIN($E$47:O47))</x:f>
        <x:v>913988</x:v>
      </x:c>
      <x:c r="P48" s="33" t="n">
        <x:f>MAX(0,-MIN($E$47:P47))</x:f>
        <x:v>1269780.882</x:v>
      </x:c>
      <x:c r="Q48" s="33" t="n">
        <x:f>MAX(0,-MIN($E$47:Q47))</x:f>
        <x:v>1269780.882</x:v>
      </x:c>
      <x:c r="R48" s="33" t="n">
        <x:f>MAX(0,-MIN($E$47:R47))</x:f>
        <x:v>1269780.882</x:v>
      </x:c>
      <x:c r="S48" s="33" t="n">
        <x:f>MAX(0,-MIN($E$47:S47))</x:f>
        <x:v>1269780.882</x:v>
      </x:c>
      <x:c r="T48" s="33" t="n">
        <x:f>MAX(0,-MIN($E$47:T47))</x:f>
        <x:v>1269780.882</x:v>
      </x:c>
      <x:c r="U48" s="33" t="n">
        <x:f>MAX(0,-MIN($E$47:U47))</x:f>
        <x:v>1269780.882</x:v>
      </x:c>
      <x:c r="V48" s="33" t="n">
        <x:f>MAX(0,-MIN($E$47:V47))</x:f>
        <x:v>1269780.882</x:v>
      </x:c>
      <x:c r="W48" s="33" t="n">
        <x:f>MAX(0,-MIN($E$47:W47))</x:f>
        <x:v>1269780.882</x:v>
      </x:c>
      <x:c r="X48" s="33" t="n">
        <x:f>MAX(0,-MIN($E$47:X47))</x:f>
        <x:v>1269780.882</x:v>
      </x:c>
      <x:c r="Y48" s="33" t="n">
        <x:f>MAX(0,-MIN($E$47:Y47))</x:f>
        <x:v>1269780.882</x:v>
      </x:c>
      <x:c r="Z48" s="33" t="n">
        <x:f>MAX(0,-MIN($E$47:Z47))</x:f>
        <x:v>1269780.882</x:v>
      </x:c>
      <x:c r="AA48" s="33" t="n">
        <x:f>MAX(0,-MIN($E$47:AA47))</x:f>
        <x:v>1269780.882</x:v>
      </x:c>
      <x:c r="AB48" s="33" t="n">
        <x:f>MAX(0,-MIN($E$47:AB47))</x:f>
        <x:v>1269780.882</x:v>
      </x:c>
    </x:row>
    <x:row r="49" ht="21" customHeight="1">
      <x:c r="A49" s="2"/>
      <x:c r="B49" s="2"/>
      <x:c r="C49" s="2"/>
      <x:c r="D49" s="60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  <x:c r="S49" s="34"/>
      <x:c r="T49" s="34"/>
      <x:c r="U49" s="34"/>
      <x:c r="V49" s="34"/>
      <x:c r="W49" s="34"/>
      <x:c r="X49" s="34"/>
      <x:c r="Y49" s="34"/>
      <x:c r="Z49" s="34"/>
      <x:c r="AA49" s="34"/>
      <x:c r="AB49" s="34"/>
    </x:row>
    <x:row r="50" ht="21" customHeight="1">
      <x:c r="A50" s="2"/>
      <x:c r="B50" s="2"/>
      <x:c r="C50" s="2"/>
      <x:c r="D50" s="60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  <x:c r="S50" s="34"/>
      <x:c r="T50" s="34"/>
      <x:c r="U50" s="34"/>
      <x:c r="V50" s="34"/>
      <x:c r="W50" s="34"/>
      <x:c r="X50" s="34"/>
      <x:c r="Y50" s="34"/>
      <x:c r="Z50" s="34"/>
      <x:c r="AA50" s="34"/>
      <x:c r="AB50" s="34"/>
    </x:row>
    <x:row r="51" ht="21" customHeight="1">
      <x:c r="A51" s="2"/>
      <x:c r="B51" s="2"/>
      <x:c r="C51" s="2" t="str">
        <x:v>Wholesale receivable balance</x:v>
      </x:c>
      <x:c r="D51" s="60" t="n">
        <x:f>AB51</x:f>
        <x:v>10049.5</x:v>
      </x:c>
      <x:c r="E51" s="34" t="n">
        <x:f>SUM($E$17:E17)-SUM($E$30:E30)</x:f>
        <x:v>0</x:v>
      </x:c>
      <x:c r="F51" s="34" t="n">
        <x:f>SUM($E$17:F17)-SUM($E$30:F30)</x:f>
        <x:v>0</x:v>
      </x:c>
      <x:c r="G51" s="34" t="n">
        <x:f>SUM($E$17:G17)-SUM($E$30:G30)</x:f>
        <x:v>0</x:v>
      </x:c>
      <x:c r="H51" s="34" t="n">
        <x:f>SUM($E$17:H17)-SUM($E$30:H30)</x:f>
        <x:v>0</x:v>
      </x:c>
      <x:c r="I51" s="34" t="n">
        <x:f>SUM($E$17:I17)-SUM($E$30:I30)</x:f>
        <x:v>0</x:v>
      </x:c>
      <x:c r="J51" s="34" t="n">
        <x:f>SUM($E$17:J17)-SUM($E$30:J30)</x:f>
        <x:v>0</x:v>
      </x:c>
      <x:c r="K51" s="34" t="n">
        <x:f>SUM($E$17:K17)-SUM($E$30:K30)</x:f>
        <x:v>0</x:v>
      </x:c>
      <x:c r="L51" s="34" t="n">
        <x:f>SUM($E$17:L17)-SUM($E$30:L30)</x:f>
        <x:v>0</x:v>
      </x:c>
      <x:c r="M51" s="34" t="n">
        <x:f>SUM($E$17:M17)-SUM($E$30:M30)</x:f>
        <x:v>0</x:v>
      </x:c>
      <x:c r="N51" s="34" t="n">
        <x:f>SUM($E$17:N17)-SUM($E$30:N30)</x:f>
        <x:v>0</x:v>
      </x:c>
      <x:c r="O51" s="34" t="n">
        <x:f>SUM($E$17:O17)-SUM($E$30:O30)</x:f>
        <x:v>0</x:v>
      </x:c>
      <x:c r="P51" s="34" t="n">
        <x:f>SUM($E$17:P17)-SUM($E$30:P30)</x:f>
        <x:v>6169</x:v>
      </x:c>
      <x:c r="Q51" s="34" t="n">
        <x:f>SUM($E$17:Q17)-SUM($E$30:Q30)</x:f>
        <x:v>8756</x:v>
      </x:c>
      <x:c r="R51" s="34" t="n">
        <x:f>SUM($E$17:R17)-SUM($E$30:R30)</x:f>
        <x:v>9950</x:v>
      </x:c>
      <x:c r="S51" s="34" t="n">
        <x:f>SUM($E$17:S17)-SUM($E$30:S30)</x:f>
        <x:v>9950</x:v>
      </x:c>
      <x:c r="T51" s="34" t="n">
        <x:f>SUM($E$17:T17)-SUM($E$30:T30)</x:f>
        <x:v>9950</x:v>
      </x:c>
      <x:c r="U51" s="34" t="n">
        <x:f>SUM($E$17:U17)-SUM($E$30:U30)</x:f>
        <x:v>9950</x:v>
      </x:c>
      <x:c r="V51" s="34" t="n">
        <x:f>SUM($E$17:V17)-SUM($E$30:V30)</x:f>
        <x:v>9950</x:v>
      </x:c>
      <x:c r="W51" s="34" t="n">
        <x:f>SUM($E$17:W17)-SUM($E$30:W30)</x:f>
        <x:v>9950</x:v>
      </x:c>
      <x:c r="X51" s="34" t="n">
        <x:f>SUM($E$17:X17)-SUM($E$30:X30)</x:f>
        <x:v>9950</x:v>
      </x:c>
      <x:c r="Y51" s="34" t="n">
        <x:f>SUM($E$17:Y17)-SUM($E$30:Y30)</x:f>
        <x:v>9950</x:v>
      </x:c>
      <x:c r="Z51" s="34" t="n">
        <x:f>SUM($E$17:Z17)-SUM($E$30:Z30)</x:f>
        <x:v>9950</x:v>
      </x:c>
      <x:c r="AA51" s="34" t="n">
        <x:f>SUM($E$17:AA17)-SUM($E$30:AA30)</x:f>
        <x:v>9950</x:v>
      </x:c>
      <x:c r="AB51" s="34" t="n">
        <x:f>SUM($E$17:AB17)-SUM($E$30:AB30)</x:f>
        <x:v>10049.5</x:v>
      </x:c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</x:row>
  </x:sheetData>
  <x:conditionalFormatting sqref="E47:AB47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42E43"/>
  </x:sheetPr>
  <x:sheetViews>
    <x:sheetView showGridLines="0" workbookViewId="0"/>
  </x:sheetViews>
  <x:sheetFormatPr defaultRowHeight="15"/>
  <x:cols>
    <x:col min="1" max="1" width="2.200000047683716" hidden="0" customWidth="1"/>
    <x:col min="2" max="2" width="2.200000047683716" hidden="0" customWidth="1"/>
    <x:col min="3" max="3" width="51" hidden="0" customWidth="1"/>
    <x:col min="4" max="4" width="16" hidden="0" customWidth="1"/>
    <x:col min="5" max="5" width="16" hidden="0" customWidth="1"/>
    <x:col min="6" max="6" width="72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9" customHeight="1">
      <x:c r="A2" s="2"/>
      <x:c r="B2" s="2"/>
      <x:c r="C2" s="3" t="str">
        <x:v>Investment</x:v>
      </x:c>
      <x:c r="D2" s="2"/>
      <x:c r="E2" s="2"/>
      <x:c r="F2" s="2"/>
      <x:c r="G2" s="2"/>
      <x:c r="H2" s="2"/>
      <x:c r="I2" s="2"/>
      <x:c r="J2" s="2"/>
      <x:c r="K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</x:row>
    <x:row r="4" ht="21" customHeight="1">
      <x:c r="A4" s="2"/>
      <x:c r="B4" s="2"/>
      <x:c r="C4" s="2" t="str">
        <x:v>Case selected:</x:v>
      </x:c>
      <x:c r="D4" s="2"/>
      <x:c r="E4" s="8" t="str">
        <x:f>'Assumptions'!$G$4</x:f>
        <x:v>Base</x:v>
      </x:c>
      <x:c r="F4" s="2"/>
      <x:c r="G4" s="2"/>
      <x:c r="H4" s="2"/>
      <x:c r="I4" s="2"/>
      <x:c r="J4" s="2"/>
      <x:c r="K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"/>
      <x:c r="B6" s="2"/>
      <x:c r="C6" s="2" t="str">
        <x:v>One-time program spend. Estimates include contracted development labor.</x:v>
      </x:c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/>
      <x:c r="B7" s="2"/>
      <x:c r="C7" s="16" t="str">
        <x:v>Category</x:v>
      </x:c>
      <x:c r="D7" s="16" t="str">
        <x:v>Base USD</x:v>
      </x:c>
      <x:c r="E7" s="16" t="str">
        <x:v>Active USD</x:v>
      </x:c>
      <x:c r="F7" s="16" t="str">
        <x:v>Scope</x:v>
      </x:c>
      <x:c r="G7" s="2"/>
      <x:c r="H7" s="2"/>
      <x:c r="I7" s="2"/>
      <x:c r="J7" s="2"/>
      <x:c r="K7" s="2"/>
    </x:row>
    <x:row r="8" ht="21" customHeight="1">
      <x:c r="A8" s="2"/>
      <x:c r="B8" s="2"/>
      <x:c r="C8" s="2" t="str">
        <x:v>Engineering through DVT</x:v>
      </x:c>
      <x:c r="D8" s="27" t="n">
        <x:v>170000</x:v>
      </x:c>
      <x:c r="E8" s="32" t="n">
        <x:f>D8*'Assumptions'!$E$55</x:f>
        <x:v>170000</x:v>
      </x:c>
      <x:c r="F8" s="2" t="str">
        <x:v>Industrial design, mechanics, electronics, firmware</x:v>
      </x:c>
      <x:c r="G8" s="2"/>
      <x:c r="H8" s="2"/>
      <x:c r="I8" s="2"/>
      <x:c r="J8" s="2"/>
      <x:c r="K8" s="2"/>
    </x:row>
    <x:row r="9" ht="21" customHeight="1">
      <x:c r="A9" s="2"/>
      <x:c r="B9" s="2"/>
      <x:c r="C9" s="2" t="str">
        <x:v>Tooling and test fixtures</x:v>
      </x:c>
      <x:c r="D9" s="27" t="n">
        <x:v>80000</x:v>
      </x:c>
      <x:c r="E9" s="32" t="n">
        <x:f>D9*'Assumptions'!$E$55</x:f>
        <x:v>80000</x:v>
      </x:c>
      <x:c r="F9" s="2" t="str">
        <x:v>Molds, manufacturing engineering and test fixtures</x:v>
      </x:c>
      <x:c r="G9" s="2"/>
      <x:c r="H9" s="2"/>
      <x:c r="I9" s="2"/>
      <x:c r="J9" s="2"/>
      <x:c r="K9" s="2"/>
    </x:row>
    <x:row r="10" ht="21" customHeight="1">
      <x:c r="A10" s="2"/>
      <x:c r="B10" s="2"/>
      <x:c r="C10" s="2" t="str">
        <x:v>Adult app and mission service</x:v>
      </x:c>
      <x:c r="D10" s="27" t="n">
        <x:v>100000</x:v>
      </x:c>
      <x:c r="E10" s="32" t="n">
        <x:f>D10*'Assumptions'!$E$55</x:f>
        <x:v>100000</x:v>
      </x:c>
      <x:c r="F10" s="2" t="str">
        <x:v>App, bounded missions, security and approved content</x:v>
      </x:c>
      <x:c r="G10" s="2"/>
      <x:c r="H10" s="2"/>
      <x:c r="I10" s="2"/>
      <x:c r="J10" s="2"/>
      <x:c r="K10" s="2"/>
    </x:row>
    <x:row r="11" ht="21" customHeight="1">
      <x:c r="A11" s="2"/>
      <x:c r="B11" s="2"/>
      <x:c r="C11" s="2" t="str">
        <x:v>Compliance, legal and setup</x:v>
      </x:c>
      <x:c r="D11" s="27" t="n">
        <x:v>60000</x:v>
      </x:c>
      <x:c r="E11" s="32" t="n">
        <x:f>D11*'Assumptions'!$E$55</x:f>
        <x:v>60000</x:v>
      </x:c>
      <x:c r="F11" s="2" t="str">
        <x:v>Toy/FCC tests, privacy/IP review, insurance setup</x:v>
      </x:c>
      <x:c r="G11" s="2"/>
      <x:c r="H11" s="2"/>
      <x:c r="I11" s="2"/>
      <x:c r="J11" s="2"/>
      <x:c r="K11" s="2"/>
    </x:row>
    <x:row r="12" ht="21" customHeight="1">
      <x:c r="A12" s="2"/>
      <x:c r="B12" s="2"/>
      <x:c r="C12" s="2" t="str">
        <x:v>Launch creative and samples</x:v>
      </x:c>
      <x:c r="D12" s="27" t="n">
        <x:v>65000</x:v>
      </x:c>
      <x:c r="E12" s="32" t="n">
        <x:f>D12*'Assumptions'!$E$55</x:f>
        <x:v>65000</x:v>
      </x:c>
      <x:c r="F12" s="2" t="str">
        <x:v>Packaging, photography, launch assets and seed samples</x:v>
      </x:c>
      <x:c r="G12" s="2"/>
      <x:c r="H12" s="2"/>
      <x:c r="I12" s="2"/>
      <x:c r="J12" s="2"/>
      <x:c r="K12" s="2"/>
    </x:row>
    <x:row r="13" ht="21" customHeight="1">
      <x:c r="A13" s="2"/>
      <x:c r="B13" s="2"/>
      <x:c r="C13" s="2" t="str">
        <x:v>Program contingency</x:v>
      </x:c>
      <x:c r="D13" s="27" t="n">
        <x:v>95000</x:v>
      </x:c>
      <x:c r="E13" s="32" t="n">
        <x:f>D13*'Assumptions'!$E$55</x:f>
        <x:v>95000</x:v>
      </x:c>
      <x:c r="F13" s="2" t="str">
        <x:v>20% of 475k. Held as liquidity, not automatically spent.</x:v>
      </x:c>
      <x:c r="G13" s="2"/>
      <x:c r="H13" s="2"/>
      <x:c r="I13" s="2"/>
      <x:c r="J13" s="2"/>
      <x:c r="K13" s="2"/>
    </x:row>
    <x:row r="14" ht="24" customHeight="1">
      <x:c r="A14" s="2"/>
      <x:c r="B14" s="2"/>
      <x:c r="C14" s="28" t="str">
        <x:v>One-time program budget</x:v>
      </x:c>
      <x:c r="D14" s="33" t="n">
        <x:f>SUM(D8:D13)</x:f>
        <x:v>570000</x:v>
      </x:c>
      <x:c r="E14" s="33" t="n">
        <x:f>SUM(E8:E13)</x:f>
        <x:v>570000</x:v>
      </x:c>
      <x:c r="F14" s="28"/>
      <x:c r="G14" s="2"/>
      <x:c r="H14" s="2"/>
      <x:c r="I14" s="2"/>
      <x:c r="J14" s="2"/>
      <x:c r="K14" s="2"/>
    </x:row>
    <x:row r="15" ht="24" customHeight="1">
      <x:c r="A15" s="2"/>
      <x:c r="B15" s="2"/>
      <x:c r="C15" s="28" t="str">
        <x:v>Planned one-time spend, ex contingency</x:v>
      </x:c>
      <x:c r="D15" s="33" t="n">
        <x:f>SUM(D8:D12)</x:f>
        <x:v>475000</x:v>
      </x:c>
      <x:c r="E15" s="33" t="n">
        <x:f>SUM(E8:E12)</x:f>
        <x:v>475000</x:v>
      </x:c>
      <x:c r="F15" s="28"/>
      <x:c r="G15" s="2"/>
      <x:c r="H15" s="2"/>
      <x:c r="I15" s="2"/>
      <x:c r="J15" s="2"/>
      <x:c r="K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1" customHeight="1">
      <x:c r="A17" s="2"/>
      <x:c r="B17" s="2"/>
      <x:c r="C17" s="2" t="str">
        <x:v>Discovery gate within the budget</x:v>
      </x:c>
      <x:c r="D17" s="27" t="n">
        <x:v>50000</x:v>
      </x:c>
      <x:c r="E17" s="2"/>
      <x:c r="F17" s="13" t="str">
        <x:v>Included within categories above. Do not add again.</x:v>
      </x:c>
      <x:c r="G17" s="2"/>
      <x:c r="H17" s="2"/>
      <x:c r="I17" s="2"/>
      <x:c r="J17" s="2"/>
      <x:c r="K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1" customHeight="1">
      <x:c r="A19" s="2"/>
      <x:c r="B19" s="2"/>
      <x:c r="C19" s="2" t="str">
        <x:v>Bluetooth qualification within compliance</x:v>
      </x:c>
      <x:c r="D19" s="27" t="n">
        <x:v>12000</x:v>
      </x:c>
      <x:c r="E19" s="2"/>
      <x:c r="F19" s="13" t="str">
        <x:v>Included within row 11. Published Adopter fee, 01-Mar-2026.</x:v>
      </x:c>
      <x:c r="G19" s="2"/>
      <x:c r="H19" s="2"/>
      <x:c r="I19" s="2"/>
      <x:c r="J19" s="2"/>
      <x:c r="K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1" customHeight="1">
      <x:c r="A21" s="2"/>
      <x:c r="B21" s="2"/>
      <x:c r="C21" s="13" t="str">
        <x:v>Source: Bluetooth SIG fee schedule. Product design qualification is separate from buying a radio module.</x:v>
      </x:c>
      <x:c r="D21" s="2"/>
      <x:c r="E21" s="2"/>
      <x:c r="F21" s="2"/>
      <x:c r="G21" s="2"/>
      <x:c r="H21" s="2"/>
      <x:c r="I21" s="2"/>
      <x:c r="J21" s="2"/>
      <x:c r="K21" s="2"/>
    </x:row>
    <x:row r="22" ht="21" customHeight="1">
      <x:c r="A22" s="2"/>
      <x:c r="B22" s="2"/>
      <x:c r="C22" s="13" t="str">
        <x:v>https://www.bluetooth.com/fee-schedule/</x:v>
      </x:c>
      <x:c r="D22" s="2"/>
      <x:c r="E22" s="2"/>
      <x:c r="F22" s="2"/>
      <x:c r="G22" s="2"/>
      <x:c r="H22" s="2"/>
      <x:c r="I22" s="2"/>
      <x:c r="J22" s="2"/>
      <x:c r="K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1" customHeight="1">
      <x:c r="A25" s="2"/>
      <x:c r="B25" s="2"/>
      <x:c r="C25" s="2" t="str">
        <x:v>Fixed service commitment / target term</x:v>
      </x:c>
      <x:c r="D25" s="2"/>
      <x:c r="E25" s="32" t="n">
        <x:f>'Assumptions'!E84*'Assumptions'!E85</x:f>
        <x:v>300000</x:v>
      </x:c>
      <x:c r="F25" s="2"/>
      <x:c r="G25" s="2"/>
      <x:c r="H25" s="2"/>
      <x:c r="I25" s="2"/>
      <x:c r="J25" s="2"/>
      <x:c r="K25" s="2"/>
    </x:row>
    <x:row r="26" ht="24" customHeight="1">
      <x:c r="A26" s="2"/>
      <x:c r="B26" s="2"/>
      <x:c r="C26" s="28" t="str">
        <x:v>Separate end-of-service reserve</x:v>
      </x:c>
      <x:c r="D26" s="28"/>
      <x:c r="E26" s="40" t="n">
        <x:f>'Assumptions'!E86</x:f>
        <x:v>25000</x:v>
      </x:c>
      <x:c r="F26" s="28"/>
      <x:c r="G26" s="2"/>
      <x:c r="H26" s="2"/>
      <x:c r="I26" s="2"/>
      <x:c r="J26" s="2"/>
      <x:c r="K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1" customHeight="1">
      <x:c r="A28" s="2"/>
      <x:c r="B28" s="2"/>
      <x:c r="C28" s="13" t="str">
        <x:v>The cash model pays service monthly and earmarks the remaining commitment after launch.</x:v>
      </x:c>
      <x:c r="D28" s="2"/>
      <x:c r="E28" s="2"/>
      <x:c r="F28" s="2"/>
      <x:c r="G28" s="2"/>
      <x:c r="H28" s="2"/>
      <x:c r="I28" s="2"/>
      <x:c r="J28" s="2"/>
      <x:c r="K28" s="2"/>
    </x:row>
    <x:row r="29" ht="21" customHeight="1">
      <x:c r="A29" s="2"/>
      <x:c r="B29" s="2"/>
      <x:c r="C29" s="13" t="str">
        <x:v>Ringfenced liquidity is not a second expense. The 0.75 AI usage allowance does not fund fixed service.</x:v>
      </x:c>
      <x:c r="D29" s="2"/>
      <x:c r="E29" s="2"/>
      <x:c r="F29" s="2"/>
      <x:c r="G29" s="2"/>
      <x:c r="H29" s="2"/>
      <x:c r="I29" s="2"/>
      <x:c r="J29" s="2"/>
      <x:c r="K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1" customHeight="1">
      <x:c r="A31" s="2"/>
      <x:c r="B31" s="2"/>
      <x:c r="C31" s="13" t="str">
        <x:v>Ops includes administration, storage and commercial insurance. No founder salary guarantee or full staff plan.</x:v>
      </x:c>
      <x:c r="D31" s="2"/>
      <x:c r="E31" s="2"/>
      <x:c r="F31" s="2"/>
      <x:c r="G31" s="2"/>
      <x:c r="H31" s="2"/>
      <x:c r="I31" s="2"/>
      <x:c r="J31" s="2"/>
      <x:c r="K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1" customHeight="1">
      <x:c r="A33" s="2"/>
      <x:c r="B33" s="2"/>
      <x:c r="C33" s="13" t="str">
        <x:v>Excluded: sales/income taxes, financing, depreciation accounting, later SKUs, reorder inventory and retail slotting.</x:v>
      </x:c>
      <x:c r="D33" s="2"/>
      <x:c r="E33" s="2"/>
      <x:c r="F33" s="2"/>
      <x:c r="G33" s="2"/>
      <x:c r="H33" s="2"/>
      <x:c r="I33" s="2"/>
      <x:c r="J33" s="2"/>
      <x:c r="K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1" customHeight="1">
      <x:c r="A35" s="2"/>
      <x:c r="B35" s="2"/>
      <x:c r="C35" s="13" t="str">
        <x:v>Supplier/professional RFQs and legal classification must precede production.</x:v>
      </x:c>
      <x:c r="D35" s="2"/>
      <x:c r="E35" s="2"/>
      <x:c r="F35" s="2"/>
      <x:c r="G35" s="2"/>
      <x:c r="H35" s="2"/>
      <x:c r="I35" s="2"/>
      <x:c r="J35" s="2"/>
      <x:c r="K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42E4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5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9" customHeight="1">
      <x:c r="A2" s="2"/>
      <x:c r="B2" s="2"/>
      <x:c r="C2" s="3" t="str">
        <x:v>BOM</x:v>
      </x:c>
      <x:c r="D2" s="2"/>
      <x:c r="E2" s="2"/>
      <x:c r="F2" s="2"/>
      <x:c r="G2" s="2"/>
      <x:c r="H2" s="2"/>
      <x:c r="I2" s="2"/>
      <x:c r="J2" s="2"/>
      <x:c r="K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</x:row>
    <x:row r="4" ht="21" customHeight="1">
      <x:c r="A4" s="2"/>
      <x:c r="B4" s="2"/>
      <x:c r="C4" s="2" t="str">
        <x:v>Case selected:</x:v>
      </x:c>
      <x:c r="D4" s="2"/>
      <x:c r="E4" s="8" t="str">
        <x:f>'Assumptions'!$G$4</x:f>
        <x:v>Base</x:v>
      </x:c>
      <x:c r="F4" s="2"/>
      <x:c r="G4" s="2"/>
      <x:c r="H4" s="2"/>
      <x:c r="I4" s="2"/>
      <x:c r="J4" s="2"/>
      <x:c r="K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"/>
      <x:c r="B6" s="2"/>
      <x:c r="C6" s="2" t="str">
        <x:v>Original planted 2-axis chassis. AA batteries. No camera, mic, gait or lithium charger.</x:v>
      </x:c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/>
      <x:c r="B7" s="2"/>
      <x:c r="C7" s="16" t="str">
        <x:v>Factory component / USD</x:v>
      </x:c>
      <x:c r="D7" s="16" t="str"/>
      <x:c r="E7" s="16" t="n">
        <x:v>1000</x:v>
      </x:c>
      <x:c r="F7" s="16" t="n">
        <x:v>5000</x:v>
      </x:c>
      <x:c r="G7" s="16" t="n">
        <x:v>20000</x:v>
      </x:c>
      <x:c r="H7" s="2"/>
      <x:c r="I7" s="2"/>
      <x:c r="J7" s="2"/>
      <x:c r="K7" s="2"/>
    </x:row>
    <x:row r="8" ht="21" customHeight="1">
      <x:c r="A8" s="2"/>
      <x:c r="B8" s="2"/>
      <x:c r="C8" s="2" t="str">
        <x:v>Molded plastics and decoration</x:v>
      </x:c>
      <x:c r="D8" s="2"/>
      <x:c r="E8" s="19" t="n">
        <x:v>12</x:v>
      </x:c>
      <x:c r="F8" s="19" t="n">
        <x:v>8.5</x:v>
      </x:c>
      <x:c r="G8" s="19" t="n">
        <x:v>6.8</x:v>
      </x:c>
      <x:c r="H8" s="2"/>
      <x:c r="I8" s="2"/>
      <x:c r="J8" s="2"/>
      <x:c r="K8" s="2"/>
    </x:row>
    <x:row r="9" ht="21" customHeight="1">
      <x:c r="A9" s="2"/>
      <x:c r="B9" s="2"/>
      <x:c r="C9" s="2" t="str">
        <x:v>Two motor mechanisms, gears and compliant linkage</x:v>
      </x:c>
      <x:c r="D9" s="2"/>
      <x:c r="E9" s="19" t="n">
        <x:v>8.5</x:v>
      </x:c>
      <x:c r="F9" s="19" t="n">
        <x:v>6.2</x:v>
      </x:c>
      <x:c r="G9" s="19" t="n">
        <x:v>4.9</x:v>
      </x:c>
      <x:c r="H9" s="2"/>
      <x:c r="I9" s="2"/>
      <x:c r="J9" s="2"/>
      <x:c r="K9" s="2"/>
    </x:row>
    <x:row r="10" ht="21" customHeight="1">
      <x:c r="A10" s="2"/>
      <x:c r="B10" s="2"/>
      <x:c r="C10" s="2" t="str">
        <x:v>Pre-certified BLE MCU module</x:v>
      </x:c>
      <x:c r="D10" s="2"/>
      <x:c r="E10" s="19" t="n">
        <x:v>5.5</x:v>
      </x:c>
      <x:c r="F10" s="19" t="n">
        <x:v>4.6</x:v>
      </x:c>
      <x:c r="G10" s="19" t="n">
        <x:v>4</x:v>
      </x:c>
      <x:c r="H10" s="2"/>
      <x:c r="I10" s="2"/>
      <x:c r="J10" s="2"/>
      <x:c r="K10" s="2"/>
    </x:row>
    <x:row r="11" ht="21" customHeight="1">
      <x:c r="A11" s="2"/>
      <x:c r="B11" s="2"/>
      <x:c r="C11" s="2" t="str">
        <x:v>PCB assembly, flash, drivers, power and passives</x:v>
      </x:c>
      <x:c r="D11" s="2"/>
      <x:c r="E11" s="19" t="n">
        <x:v>8</x:v>
      </x:c>
      <x:c r="F11" s="19" t="n">
        <x:v>6</x:v>
      </x:c>
      <x:c r="G11" s="19" t="n">
        <x:v>4.8</x:v>
      </x:c>
      <x:c r="H11" s="2"/>
      <x:c r="I11" s="2"/>
      <x:c r="J11" s="2"/>
      <x:c r="K11" s="2"/>
    </x:row>
    <x:row r="12" ht="21" customHeight="1">
      <x:c r="A12" s="2"/>
      <x:c r="B12" s="2"/>
      <x:c r="C12" s="2" t="str">
        <x:v>Speaker and audio path</x:v>
      </x:c>
      <x:c r="D12" s="2"/>
      <x:c r="E12" s="19" t="n">
        <x:v>1.8</x:v>
      </x:c>
      <x:c r="F12" s="19" t="n">
        <x:v>1.4</x:v>
      </x:c>
      <x:c r="G12" s="19" t="n">
        <x:v>1.15</x:v>
      </x:c>
      <x:c r="H12" s="2"/>
      <x:c r="I12" s="2"/>
      <x:c r="J12" s="2"/>
      <x:c r="K12" s="2"/>
    </x:row>
    <x:row r="13" ht="21" customHeight="1">
      <x:c r="A13" s="2"/>
      <x:c r="B13" s="2"/>
      <x:c r="C13" s="2" t="str">
        <x:v>Sensors, buttons and LEDs</x:v>
      </x:c>
      <x:c r="D13" s="2"/>
      <x:c r="E13" s="19" t="n">
        <x:v>2.8</x:v>
      </x:c>
      <x:c r="F13" s="19" t="n">
        <x:v>2.1</x:v>
      </x:c>
      <x:c r="G13" s="19" t="n">
        <x:v>1.6</x:v>
      </x:c>
      <x:c r="H13" s="2"/>
      <x:c r="I13" s="2"/>
      <x:c r="J13" s="2"/>
      <x:c r="K13" s="2"/>
    </x:row>
    <x:row r="14" ht="21" customHeight="1">
      <x:c r="A14" s="2"/>
      <x:c r="B14" s="2"/>
      <x:c r="C14" s="2" t="str">
        <x:v>Harness, fasteners and battery contacts</x:v>
      </x:c>
      <x:c r="D14" s="2"/>
      <x:c r="E14" s="19" t="n">
        <x:v>2.2</x:v>
      </x:c>
      <x:c r="F14" s="19" t="n">
        <x:v>1.7</x:v>
      </x:c>
      <x:c r="G14" s="19" t="n">
        <x:v>1.4</x:v>
      </x:c>
      <x:c r="H14" s="2"/>
      <x:c r="I14" s="2"/>
      <x:c r="J14" s="2"/>
      <x:c r="K14" s="2"/>
    </x:row>
    <x:row r="15" ht="21" customHeight="1">
      <x:c r="A15" s="2"/>
      <x:c r="B15" s="2"/>
      <x:c r="C15" s="2" t="str">
        <x:v>Four AA cells</x:v>
      </x:c>
      <x:c r="D15" s="2"/>
      <x:c r="E15" s="19" t="n">
        <x:v>1.4</x:v>
      </x:c>
      <x:c r="F15" s="19" t="n">
        <x:v>1.1</x:v>
      </x:c>
      <x:c r="G15" s="19" t="n">
        <x:v>0.95</x:v>
      </x:c>
      <x:c r="H15" s="2"/>
      <x:c r="I15" s="2"/>
      <x:c r="J15" s="2"/>
      <x:c r="K15" s="2"/>
    </x:row>
    <x:row r="16" ht="21" customHeight="1">
      <x:c r="A16" s="2"/>
      <x:c r="B16" s="2"/>
      <x:c r="C16" s="2" t="str">
        <x:v>Carton, tray and printed mission insert</x:v>
      </x:c>
      <x:c r="D16" s="2"/>
      <x:c r="E16" s="19" t="n">
        <x:v>2.8</x:v>
      </x:c>
      <x:c r="F16" s="19" t="n">
        <x:v>2.2</x:v>
      </x:c>
      <x:c r="G16" s="19" t="n">
        <x:v>1.8</x:v>
      </x:c>
      <x:c r="H16" s="2"/>
      <x:c r="I16" s="2"/>
      <x:c r="J16" s="2"/>
      <x:c r="K16" s="2"/>
    </x:row>
    <x:row r="17" ht="21" customHeight="1">
      <x:c r="A17" s="2"/>
      <x:c r="B17" s="2"/>
      <x:c r="C17" s="2" t="str">
        <x:v>Factory assembly and end-of-line test</x:v>
      </x:c>
      <x:c r="D17" s="2"/>
      <x:c r="E17" s="19" t="n">
        <x:v>7</x:v>
      </x:c>
      <x:c r="F17" s="19" t="n">
        <x:v>4.8</x:v>
      </x:c>
      <x:c r="G17" s="19" t="n">
        <x:v>3.8</x:v>
      </x:c>
      <x:c r="H17" s="2"/>
      <x:c r="I17" s="2"/>
      <x:c r="J17" s="2"/>
      <x:c r="K17" s="2"/>
    </x:row>
    <x:row r="18" ht="24" customHeight="1">
      <x:c r="A18" s="2"/>
      <x:c r="B18" s="2"/>
      <x:c r="C18" s="28" t="str">
        <x:v>Factory cost / EXW</x:v>
      </x:c>
      <x:c r="D18" s="28"/>
      <x:c r="E18" s="29" t="n">
        <x:f>SUM(E8:E17)</x:f>
        <x:v>51.99999999999999</x:v>
      </x:c>
      <x:c r="F18" s="29" t="n">
        <x:f>SUM(F8:F17)</x:f>
        <x:v>38.599999999999994</x:v>
      </x:c>
      <x:c r="G18" s="29" t="n">
        <x:f>SUM(G8:G17)</x:f>
        <x:v>31.2</x:v>
      </x:c>
      <x:c r="H18" s="2"/>
      <x:c r="I18" s="2"/>
      <x:c r="J18" s="2"/>
      <x:c r="K18" s="2"/>
    </x:row>
    <x:row r="19" ht="21" customHeight="1">
      <x:c r="A19" s="2"/>
      <x:c r="B19" s="2"/>
      <x:c r="C19" s="2"/>
      <x:c r="D19" s="2"/>
      <x:c r="E19" s="30"/>
      <x:c r="F19" s="30"/>
      <x:c r="G19" s="30"/>
      <x:c r="H19" s="2"/>
      <x:c r="I19" s="2"/>
      <x:c r="J19" s="2"/>
      <x:c r="K19" s="2"/>
    </x:row>
    <x:row r="20" ht="21" customHeight="1">
      <x:c r="A20" s="2"/>
      <x:c r="B20" s="2"/>
      <x:c r="C20" s="2"/>
      <x:c r="D20" s="2"/>
      <x:c r="E20" s="30"/>
      <x:c r="F20" s="30"/>
      <x:c r="G20" s="30"/>
      <x:c r="H20" s="2"/>
      <x:c r="I20" s="2"/>
      <x:c r="J20" s="2"/>
      <x:c r="K20" s="2"/>
    </x:row>
    <x:row r="21" ht="21" customHeight="1">
      <x:c r="A21" s="2"/>
      <x:c r="B21" s="2"/>
      <x:c r="C21" s="2"/>
      <x:c r="D21" s="2"/>
      <x:c r="E21" s="30"/>
      <x:c r="F21" s="30"/>
      <x:c r="G21" s="30"/>
      <x:c r="H21" s="2"/>
      <x:c r="I21" s="2"/>
      <x:c r="J21" s="2"/>
      <x:c r="K21" s="2"/>
    </x:row>
    <x:row r="22" ht="21" customHeight="1">
      <x:c r="A22" s="2"/>
      <x:c r="B22" s="2"/>
      <x:c r="C22" s="2" t="str">
        <x:v>Factory cost with active multiplier</x:v>
      </x:c>
      <x:c r="D22" s="2"/>
      <x:c r="E22" s="31" t="n">
        <x:f>E18*'Assumptions'!$E$20</x:f>
        <x:v>51.99999999999999</x:v>
      </x:c>
      <x:c r="F22" s="31" t="n">
        <x:f>F18*'Assumptions'!$E$20</x:f>
        <x:v>38.599999999999994</x:v>
      </x:c>
      <x:c r="G22" s="31" t="n">
        <x:f>G18*'Assumptions'!$E$20</x:f>
        <x:v>31.2</x:v>
      </x:c>
      <x:c r="H22" s="2"/>
      <x:c r="I22" s="2"/>
      <x:c r="J22" s="2"/>
      <x:c r="K22" s="2"/>
    </x:row>
    <x:row r="23" ht="21" customHeight="1">
      <x:c r="A23" s="2"/>
      <x:c r="B23" s="2"/>
      <x:c r="C23" s="2" t="str">
        <x:v>Scrap and rework</x:v>
      </x:c>
      <x:c r="D23" s="2"/>
      <x:c r="E23" s="31" t="n">
        <x:f>E22*'Assumptions'!$E$67</x:f>
        <x:v>1.5599999999999998</x:v>
      </x:c>
      <x:c r="F23" s="31" t="n">
        <x:f>F22*'Assumptions'!$E$67</x:f>
        <x:v>1.1579999999999997</x:v>
      </x:c>
      <x:c r="G23" s="31" t="n">
        <x:f>G22*'Assumptions'!$E$67</x:f>
        <x:v>0.9359999999999999</x:v>
      </x:c>
      <x:c r="H23" s="2"/>
      <x:c r="I23" s="2"/>
      <x:c r="J23" s="2"/>
      <x:c r="K23" s="2"/>
    </x:row>
    <x:row r="24" ht="21" customHeight="1">
      <x:c r="A24" s="2"/>
      <x:c r="B24" s="2"/>
      <x:c r="C24" s="2" t="str">
        <x:v>Inbound freight and insurance</x:v>
      </x:c>
      <x:c r="D24" s="2"/>
      <x:c r="E24" s="30" t="n">
        <x:f>E39</x:f>
        <x:v>4</x:v>
      </x:c>
      <x:c r="F24" s="30" t="n">
        <x:f>F39</x:f>
        <x:v>3</x:v>
      </x:c>
      <x:c r="G24" s="30" t="n">
        <x:f>G39</x:f>
        <x:v>2.5</x:v>
      </x:c>
      <x:c r="H24" s="2"/>
      <x:c r="I24" s="2"/>
      <x:c r="J24" s="2"/>
      <x:c r="K24" s="2"/>
    </x:row>
    <x:row r="25" ht="21" customHeight="1">
      <x:c r="A25" s="2"/>
      <x:c r="B25" s="2"/>
      <x:c r="C25" s="2" t="str">
        <x:v>Tariff / duty placeholder</x:v>
      </x:c>
      <x:c r="D25" s="2"/>
      <x:c r="E25" s="31" t="n">
        <x:f>E22*'Assumptions'!$E$25</x:f>
        <x:v>7.799999999999999</x:v>
      </x:c>
      <x:c r="F25" s="31" t="n">
        <x:f>F22*'Assumptions'!$E$25</x:f>
        <x:v>5.789999999999999</x:v>
      </x:c>
      <x:c r="G25" s="31" t="n">
        <x:f>G22*'Assumptions'!$E$25</x:f>
        <x:v>4.68</x:v>
      </x:c>
      <x:c r="H25" s="2"/>
      <x:c r="I25" s="2"/>
      <x:c r="J25" s="2"/>
      <x:c r="K25" s="2"/>
    </x:row>
    <x:row r="26" ht="21" customHeight="1">
      <x:c r="A26" s="2"/>
      <x:c r="B26" s="2"/>
      <x:c r="C26" s="2" t="str">
        <x:v>Broker and handling</x:v>
      </x:c>
      <x:c r="D26" s="2"/>
      <x:c r="E26" s="30" t="n">
        <x:f>E40</x:f>
        <x:v>0.75</x:v>
      </x:c>
      <x:c r="F26" s="30" t="n">
        <x:f>F40</x:f>
        <x:v>0.45</x:v>
      </x:c>
      <x:c r="G26" s="30" t="n">
        <x:f>G40</x:f>
        <x:v>0.3</x:v>
      </x:c>
      <x:c r="H26" s="2"/>
      <x:c r="I26" s="2"/>
      <x:c r="J26" s="2"/>
      <x:c r="K26" s="2"/>
    </x:row>
    <x:row r="27" ht="24" customHeight="1">
      <x:c r="A27" s="2"/>
      <x:c r="B27" s="2"/>
      <x:c r="C27" s="28" t="str">
        <x:v>Landed warehouse cost</x:v>
      </x:c>
      <x:c r="D27" s="28"/>
      <x:c r="E27" s="29" t="n">
        <x:f>SUM(E22:E26)</x:f>
        <x:v>66.11</x:v>
      </x:c>
      <x:c r="F27" s="29" t="n">
        <x:f>SUM(F22:F26)</x:f>
        <x:v>48.998</x:v>
      </x:c>
      <x:c r="G27" s="29" t="n">
        <x:f>SUM(G22:G26)</x:f>
        <x:v>39.61599999999999</x:v>
      </x:c>
      <x:c r="H27" s="2"/>
      <x:c r="I27" s="2"/>
      <x:c r="J27" s="2"/>
      <x:c r="K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1" customHeight="1">
      <x:c r="A30" s="2"/>
      <x:c r="B30" s="2"/>
      <x:c r="C30" s="2" t="str">
        <x:v>Active production quantity</x:v>
      </x:c>
      <x:c r="D30" s="2"/>
      <x:c r="E30" s="5" t="n">
        <x:f>'Assumptions'!E15</x:f>
        <x:v>5000</x:v>
      </x:c>
      <x:c r="F30" s="2"/>
      <x:c r="G30" s="2"/>
      <x:c r="H30" s="2"/>
      <x:c r="I30" s="2"/>
      <x:c r="J30" s="2"/>
      <x:c r="K30" s="2"/>
    </x:row>
    <x:row r="31" ht="21" customHeight="1">
      <x:c r="A31" s="2"/>
      <x:c r="B31" s="2"/>
      <x:c r="C31" s="2" t="str">
        <x:v>Selected factory EXW</x:v>
      </x:c>
      <x:c r="D31" s="2"/>
      <x:c r="E31" s="30" t="n">
        <x:f>INDEX($E$22:$G$22,1,MATCH($E$30,$E$7:$G$7,0))</x:f>
        <x:v>38.599999999999994</x:v>
      </x:c>
      <x:c r="F31" s="2"/>
      <x:c r="G31" s="2"/>
      <x:c r="H31" s="2"/>
      <x:c r="I31" s="2"/>
      <x:c r="J31" s="2"/>
      <x:c r="K31" s="2"/>
    </x:row>
    <x:row r="32" ht="21" customHeight="1">
      <x:c r="A32" s="2"/>
      <x:c r="B32" s="2"/>
      <x:c r="C32" s="2" t="str">
        <x:v>Selected scrap / rework</x:v>
      </x:c>
      <x:c r="D32" s="2"/>
      <x:c r="E32" s="30" t="n">
        <x:f>INDEX($E$23:$G$23,1,MATCH($E$30,$E$7:$G$7,0))</x:f>
        <x:v>1.1579999999999997</x:v>
      </x:c>
      <x:c r="F32" s="2"/>
      <x:c r="G32" s="2"/>
      <x:c r="H32" s="2"/>
      <x:c r="I32" s="2"/>
      <x:c r="J32" s="2"/>
      <x:c r="K32" s="2"/>
    </x:row>
    <x:row r="33" ht="21" customHeight="1">
      <x:c r="A33" s="2"/>
      <x:c r="B33" s="2"/>
      <x:c r="C33" s="2" t="str">
        <x:v>Selected inbound freight</x:v>
      </x:c>
      <x:c r="D33" s="2"/>
      <x:c r="E33" s="30" t="n">
        <x:f>INDEX($E$24:$G$24,1,MATCH($E$30,$E$7:$G$7,0))</x:f>
        <x:v>3</x:v>
      </x:c>
      <x:c r="F33" s="2"/>
      <x:c r="G33" s="2"/>
      <x:c r="H33" s="2"/>
      <x:c r="I33" s="2"/>
      <x:c r="J33" s="2"/>
      <x:c r="K33" s="2"/>
    </x:row>
    <x:row r="34" ht="21" customHeight="1">
      <x:c r="A34" s="2"/>
      <x:c r="B34" s="2"/>
      <x:c r="C34" s="2" t="str">
        <x:v>Selected tariff / duty</x:v>
      </x:c>
      <x:c r="D34" s="2"/>
      <x:c r="E34" s="30" t="n">
        <x:f>INDEX($E$25:$G$25,1,MATCH($E$30,$E$7:$G$7,0))</x:f>
        <x:v>5.789999999999999</x:v>
      </x:c>
      <x:c r="F34" s="2"/>
      <x:c r="G34" s="2"/>
      <x:c r="H34" s="2"/>
      <x:c r="I34" s="2"/>
      <x:c r="J34" s="2"/>
      <x:c r="K34" s="2"/>
    </x:row>
    <x:row r="35" ht="21" customHeight="1">
      <x:c r="A35" s="2"/>
      <x:c r="B35" s="2"/>
      <x:c r="C35" s="2" t="str">
        <x:v>Selected broker / handling</x:v>
      </x:c>
      <x:c r="D35" s="2"/>
      <x:c r="E35" s="30" t="n">
        <x:f>INDEX($E$26:$G$26,1,MATCH($E$30,$E$7:$G$7,0))</x:f>
        <x:v>0.45</x:v>
      </x:c>
      <x:c r="F35" s="2"/>
      <x:c r="G35" s="2"/>
      <x:c r="H35" s="2"/>
      <x:c r="I35" s="2"/>
      <x:c r="J35" s="2"/>
      <x:c r="K35" s="2"/>
    </x:row>
    <x:row r="36" ht="24" customHeight="1">
      <x:c r="A36" s="2"/>
      <x:c r="B36" s="2"/>
      <x:c r="C36" s="28" t="str">
        <x:v>Selected landed cost</x:v>
      </x:c>
      <x:c r="D36" s="28"/>
      <x:c r="E36" s="29" t="n">
        <x:f>INDEX($E$27:$G$27,1,MATCH($E$30,$E$7:$G$7,0))</x:f>
        <x:v>48.998</x:v>
      </x:c>
      <x:c r="F36" s="28"/>
      <x:c r="G36" s="28"/>
      <x:c r="H36" s="2"/>
      <x:c r="I36" s="2"/>
      <x:c r="J36" s="2"/>
      <x:c r="K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A38" s="2"/>
      <x:c r="B38" s="2"/>
      <x:c r="C38" s="16" t="str">
        <x:v>Shared volume allowances</x:v>
      </x:c>
      <x:c r="D38" s="16" t="str"/>
      <x:c r="E38" s="16" t="str">
        <x:v>1000</x:v>
      </x:c>
      <x:c r="F38" s="16" t="str">
        <x:v>5000</x:v>
      </x:c>
      <x:c r="G38" s="16" t="str">
        <x:v>20000</x:v>
      </x:c>
      <x:c r="H38" s="2"/>
      <x:c r="I38" s="2"/>
      <x:c r="J38" s="2"/>
      <x:c r="K38" s="2"/>
    </x:row>
    <x:row r="39" ht="21" customHeight="1">
      <x:c r="A39" s="2"/>
      <x:c r="B39" s="2"/>
      <x:c r="C39" s="2" t="str">
        <x:v>Freight and insurance</x:v>
      </x:c>
      <x:c r="D39" s="2"/>
      <x:c r="E39" s="19" t="n">
        <x:v>4</x:v>
      </x:c>
      <x:c r="F39" s="19" t="n">
        <x:v>3</x:v>
      </x:c>
      <x:c r="G39" s="19" t="n">
        <x:v>2.5</x:v>
      </x:c>
      <x:c r="H39" s="2"/>
      <x:c r="I39" s="2"/>
      <x:c r="J39" s="2"/>
      <x:c r="K39" s="2"/>
    </x:row>
    <x:row r="40" ht="21" customHeight="1">
      <x:c r="A40" s="2"/>
      <x:c r="B40" s="2"/>
      <x:c r="C40" s="2" t="str">
        <x:v>Brokerage and handling</x:v>
      </x:c>
      <x:c r="D40" s="2"/>
      <x:c r="E40" s="19" t="n">
        <x:v>0.75</x:v>
      </x:c>
      <x:c r="F40" s="19" t="n">
        <x:v>0.45</x:v>
      </x:c>
      <x:c r="G40" s="19" t="n">
        <x:v>0.3</x:v>
      </x:c>
      <x:c r="H40" s="2"/>
      <x:c r="I40" s="2"/>
      <x:c r="J40" s="2"/>
      <x:c r="K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1" customHeight="1">
      <x:c r="A43" s="2"/>
      <x:c r="B43" s="2"/>
      <x:c r="C43" s="13" t="str">
        <x:v>All component and freight values are analyst estimates. One shared chassis and one launch colorway.</x:v>
      </x:c>
      <x:c r="D43" s="2"/>
      <x:c r="E43" s="2"/>
      <x:c r="F43" s="2"/>
      <x:c r="G43" s="2"/>
      <x:c r="H43" s="2"/>
      <x:c r="I43" s="2"/>
      <x:c r="J43" s="2"/>
      <x:c r="K43" s="2"/>
    </x:row>
    <x:row r="44" ht="21" customHeight="1">
      <x:c r="A44" s="2"/>
      <x:c r="B44" s="2"/>
      <x:c r="C44" s="13" t="str">
        <x:v>Tooling and compliance are paid in Investment. They are excluded from EXW and not paid again per unit.</x:v>
      </x:c>
      <x:c r="D44" s="2"/>
      <x:c r="E44" s="2"/>
      <x:c r="F44" s="2"/>
      <x:c r="G44" s="2"/>
      <x:c r="H44" s="2"/>
      <x:c r="I44" s="2"/>
      <x:c r="J44" s="2"/>
      <x:c r="K44" s="2"/>
    </x:row>
    <x:row r="45" ht="21" customHeight="1">
      <x:c r="A45" s="2"/>
      <x:c r="B45" s="2"/>
      <x:c r="C45" s="13" t="str">
        <x:v>15% duty in Base is a buffer, not the actual rate. Obtain binding classification and entry-date advice.</x:v>
      </x:c>
      <x:c r="D45" s="2"/>
      <x:c r="E45" s="2"/>
      <x:c r="F45" s="2"/>
      <x:c r="G45" s="2"/>
      <x:c r="H45" s="2"/>
      <x:c r="I45" s="2"/>
      <x:c r="J45" s="2"/>
      <x:c r="K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1" customHeight="1">
      <x:c r="A47" s="2"/>
      <x:c r="B47" s="2"/>
      <x:c r="C47" s="13" t="str">
        <x:v>Reference component scope: Nordic nRF52832 and TI DRV8833. Published chip price is not a toy BOM quote.</x:v>
      </x:c>
      <x:c r="D47" s="2"/>
      <x:c r="E47" s="2"/>
      <x:c r="F47" s="2"/>
      <x:c r="G47" s="2"/>
      <x:c r="H47" s="2"/>
      <x:c r="I47" s="2"/>
      <x:c r="J47" s="2"/>
      <x:c r="K47" s="2"/>
    </x:row>
    <x:row r="48" ht="21" customHeight="1">
      <x:c r="A48" s="2"/>
      <x:c r="B48" s="2"/>
      <x:c r="C48" s="13" t="str">
        <x:v>https://docs.nordicsemi.com/r/bundle/ps_nrf52832/page/nrf52832_ps.html</x:v>
      </x:c>
      <x:c r="D48" s="2"/>
      <x:c r="E48" s="2"/>
      <x:c r="F48" s="2"/>
      <x:c r="G48" s="2"/>
      <x:c r="H48" s="2"/>
      <x:c r="I48" s="2"/>
      <x:c r="J48" s="2"/>
      <x:c r="K48" s="2"/>
    </x:row>
    <x:row r="49" ht="21" customHeight="1">
      <x:c r="A49" s="2"/>
      <x:c r="B49" s="2"/>
      <x:c r="C49" s="13" t="str">
        <x:v>https://www.ti.com/compare-products/?id=2013&amp;partList=DRV8833%2CDRV8833C%2CDRV8847</x:v>
      </x:c>
      <x:c r="D49" s="2"/>
      <x:c r="E49" s="2"/>
      <x:c r="F49" s="2"/>
      <x:c r="G49" s="2"/>
      <x:c r="H49" s="2"/>
      <x:c r="I49" s="2"/>
      <x:c r="J49" s="2"/>
      <x:c r="K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42E43"/>
  </x:sheetPr>
  <x:sheetViews>
    <x:sheetView showGridLines="0" workbookViewId="0"/>
  </x:sheetViews>
  <x:sheetFormatPr defaultRowHeight="15"/>
  <x:cols>
    <x:col min="1" max="1" width="2.200000047683716" hidden="0" customWidth="1"/>
    <x:col min="2" max="2" width="2.200000047683716" hidden="0" customWidth="1"/>
    <x:col min="3" max="3" width="6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9" customHeight="1">
      <x:c r="A2" s="2"/>
      <x:c r="B2" s="2"/>
      <x:c r="C2" s="3" t="str">
        <x:v>Review</x:v>
      </x:c>
      <x:c r="D2" s="2"/>
      <x:c r="E2" s="2"/>
      <x:c r="F2" s="2"/>
      <x:c r="G2" s="2"/>
      <x:c r="H2" s="2"/>
      <x:c r="I2" s="2"/>
      <x:c r="J2" s="2"/>
      <x:c r="K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</x:row>
    <x:row r="4" ht="21" customHeight="1">
      <x:c r="A4" s="2"/>
      <x:c r="B4" s="2"/>
      <x:c r="C4" s="2" t="str">
        <x:v>Case selected:</x:v>
      </x:c>
      <x:c r="D4" s="2"/>
      <x:c r="E4" s="8" t="str">
        <x:f>'Assumptions'!$G$4</x:f>
        <x:v>Base</x:v>
      </x:c>
      <x:c r="F4" s="2"/>
      <x:c r="G4" s="2"/>
      <x:c r="H4" s="2"/>
      <x:c r="I4" s="2"/>
      <x:c r="J4" s="2"/>
      <x:c r="K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"/>
      <x:c r="B6" s="2"/>
      <x:c r="C6" s="2" t="str">
        <x:v>Terminal reconciliations. No forecast depends on this sheet.</x:v>
      </x:c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/>
      <x:c r="B7" s="2"/>
      <x:c r="C7" s="16" t="str">
        <x:v>Reconciliation</x:v>
      </x:c>
      <x:c r="D7" s="16" t="str"/>
      <x:c r="E7" s="16" t="str">
        <x:v>Difference</x:v>
      </x:c>
      <x:c r="F7" s="16" t="str"/>
      <x:c r="G7" s="16" t="str">
        <x:v>Expected</x:v>
      </x:c>
      <x:c r="H7" s="2"/>
      <x:c r="I7" s="2"/>
      <x:c r="J7" s="2"/>
      <x:c r="K7" s="2"/>
    </x:row>
    <x:row r="8" ht="21" customHeight="1">
      <x:c r="A8" s="2"/>
      <x:c r="B8" s="2"/>
      <x:c r="C8" s="2" t="str">
        <x:v>Factory component subtotal / 5k base</x:v>
      </x:c>
      <x:c r="D8" s="2"/>
      <x:c r="E8" s="63" t="n">
        <x:f>ROUND('BOM'!F18-38.6,6)</x:f>
        <x:v>0</x:v>
      </x:c>
      <x:c r="F8" s="2"/>
      <x:c r="G8" s="2" t="n">
        <x:v>0</x:v>
      </x:c>
      <x:c r="H8" s="2"/>
      <x:c r="I8" s="2"/>
      <x:c r="J8" s="2"/>
      <x:c r="K8" s="2"/>
    </x:row>
    <x:row r="9" ht="21" customHeight="1">
      <x:c r="A9" s="2"/>
      <x:c r="B9" s="2"/>
      <x:c r="C9" s="2" t="str">
        <x:v>NRE spend weights total</x:v>
      </x:c>
      <x:c r="D9" s="2"/>
      <x:c r="E9" s="63" t="n">
        <x:f>ROUND(SUM('Assumptions'!E90:P90)-1,6)</x:f>
        <x:v>0</x:v>
      </x:c>
      <x:c r="F9" s="2"/>
      <x:c r="G9" s="2" t="n">
        <x:v>0</x:v>
      </x:c>
      <x:c r="H9" s="2"/>
      <x:c r="I9" s="2"/>
      <x:c r="J9" s="2"/>
      <x:c r="K9" s="2"/>
    </x:row>
    <x:row r="10" ht="21" customHeight="1">
      <x:c r="A10" s="2"/>
      <x:c r="B10" s="2"/>
      <x:c r="C10" s="2" t="str">
        <x:v>Sales ramp weights total</x:v>
      </x:c>
      <x:c r="D10" s="2"/>
      <x:c r="E10" s="63" t="n">
        <x:f>ROUND(SUM('Assumptions'!E92:Q92)-1,6)</x:f>
        <x:v>0</x:v>
      </x:c>
      <x:c r="F10" s="2"/>
      <x:c r="G10" s="2" t="n">
        <x:v>0</x:v>
      </x:c>
      <x:c r="H10" s="2"/>
      <x:c r="I10" s="2"/>
      <x:c r="J10" s="2"/>
      <x:c r="K10" s="2"/>
    </x:row>
    <x:row r="11" ht="21" customHeight="1">
      <x:c r="A11" s="2"/>
      <x:c r="B11" s="2"/>
      <x:c r="C11" s="2" t="str">
        <x:v>Factory receipts vs production order</x:v>
      </x:c>
      <x:c r="D11" s="2"/>
      <x:c r="E11" s="63" t="n">
        <x:f>ROUND('Cash forecast'!D9-'Assumptions'!E15,6)</x:f>
        <x:v>0</x:v>
      </x:c>
      <x:c r="F11" s="2"/>
      <x:c r="G11" s="2" t="n">
        <x:v>0</x:v>
      </x:c>
      <x:c r="H11" s="2"/>
      <x:c r="I11" s="2"/>
      <x:c r="J11" s="2"/>
      <x:c r="K11" s="2"/>
    </x:row>
    <x:row r="12" ht="21" customHeight="1">
      <x:c r="A12" s="2"/>
      <x:c r="B12" s="2"/>
      <x:c r="C12" s="2" t="str">
        <x:v>Inventory opening + receipt - sold - closing</x:v>
      </x:c>
      <x:c r="D12" s="2"/>
      <x:c r="E12" s="63" t="n">
        <x:f>ROUND('Cash forecast'!E8+'Cash forecast'!D9-'Cash forecast'!D11-'Cash forecast'!AB14,6)</x:f>
        <x:v>0</x:v>
      </x:c>
      <x:c r="F12" s="2"/>
      <x:c r="G12" s="2" t="n">
        <x:v>0</x:v>
      </x:c>
      <x:c r="H12" s="2"/>
      <x:c r="I12" s="2"/>
      <x:c r="J12" s="2"/>
      <x:c r="K12" s="2"/>
    </x:row>
    <x:row r="13" ht="21" customHeight="1">
      <x:c r="A13" s="2"/>
      <x:c r="B13" s="2"/>
      <x:c r="C13" s="2" t="str">
        <x:v>DTC + wholesale shipments vs total</x:v>
      </x:c>
      <x:c r="D13" s="2"/>
      <x:c r="E13" s="63" t="n">
        <x:f>ROUND('Cash forecast'!D12+'Cash forecast'!D13-'Cash forecast'!D11,6)</x:f>
        <x:v>0</x:v>
      </x:c>
      <x:c r="F13" s="2"/>
      <x:c r="G13" s="2" t="n">
        <x:v>0</x:v>
      </x:c>
      <x:c r="H13" s="2"/>
      <x:c r="I13" s="2"/>
      <x:c r="J13" s="2"/>
      <x:c r="K13" s="2"/>
    </x:row>
    <x:row r="14" ht="21" customHeight="1">
      <x:c r="A14" s="2"/>
      <x:c r="B14" s="2"/>
      <x:c r="C14" s="2" t="str">
        <x:v>Factory/inbound cash vs landed order</x:v>
      </x:c>
      <x:c r="D14" s="2"/>
      <x:c r="E14" s="63" t="n">
        <x:f>ROUND(SUM('Cash forecast'!D33:D35)-'BOM'!E36*'Assumptions'!E15,6)</x:f>
        <x:v>0</x:v>
      </x:c>
      <x:c r="F14" s="2"/>
      <x:c r="G14" s="2" t="n">
        <x:v>0</x:v>
      </x:c>
      <x:c r="H14" s="2"/>
      <x:c r="I14" s="2"/>
      <x:c r="J14" s="2"/>
      <x:c r="K14" s="2"/>
    </x:row>
    <x:row r="15" ht="21" customHeight="1">
      <x:c r="A15" s="2"/>
      <x:c r="B15" s="2"/>
      <x:c r="C15" s="2" t="str">
        <x:v>NRE cash vs active planned spend</x:v>
      </x:c>
      <x:c r="D15" s="2"/>
      <x:c r="E15" s="63" t="n">
        <x:f>ROUND('Cash forecast'!D37-'Investment'!E15,6)</x:f>
        <x:v>0</x:v>
      </x:c>
      <x:c r="F15" s="2"/>
      <x:c r="G15" s="2" t="n">
        <x:v>0</x:v>
      </x:c>
      <x:c r="H15" s="2"/>
      <x:c r="I15" s="2"/>
      <x:c r="J15" s="2"/>
      <x:c r="K15" s="2"/>
    </x:row>
    <x:row r="16" ht="21" customHeight="1">
      <x:c r="A16" s="2"/>
      <x:c r="B16" s="2"/>
      <x:c r="C16" s="2" t="str">
        <x:v>Net cash vs cumulative cash</x:v>
      </x:c>
      <x:c r="D16" s="2"/>
      <x:c r="E16" s="63" t="n">
        <x:f>ROUND('Cash forecast'!D41-'Cash forecast'!AB42,6)</x:f>
        <x:v>0</x:v>
      </x:c>
      <x:c r="F16" s="2"/>
      <x:c r="G16" s="2" t="n">
        <x:v>0</x:v>
      </x:c>
      <x:c r="H16" s="2"/>
      <x:c r="I16" s="2"/>
      <x:c r="J16" s="2"/>
      <x:c r="K16" s="2"/>
    </x:row>
    <x:row r="17" ht="21" customHeight="1">
      <x:c r="A17" s="2"/>
      <x:c r="B17" s="2"/>
      <x:c r="C17" s="2" t="str">
        <x:v>Receivables / revenue less cash</x:v>
      </x:c>
      <x:c r="D17" s="2"/>
      <x:c r="E17" s="63" t="n">
        <x:f>ROUND('Cash forecast'!AB51-('Cash forecast'!D17-'Cash forecast'!D30),6)</x:f>
        <x:v>0</x:v>
      </x:c>
      <x:c r="F17" s="2"/>
      <x:c r="G17" s="2" t="n">
        <x:v>0</x:v>
      </x:c>
      <x:c r="H17" s="2"/>
      <x:c r="I17" s="2"/>
      <x:c r="J17" s="2"/>
      <x:c r="K17" s="2"/>
    </x:row>
    <x:row r="18" ht="21" customHeight="1">
      <x:c r="A18" s="2"/>
      <x:c r="B18" s="2"/>
      <x:c r="C18" s="2" t="str">
        <x:v>Contribution vs channel unit margins</x:v>
      </x:c>
      <x:c r="D18" s="2"/>
      <x:c r="E18" s="63" t="n">
        <x:f>ROUND('Cash forecast'!D23-('Cash forecast'!D12*'Unit economics'!E26+'Cash forecast'!D13*'Unit economics'!G26),6)</x:f>
        <x:v>0</x:v>
      </x:c>
      <x:c r="F18" s="2"/>
      <x:c r="G18" s="2" t="n">
        <x:v>0</x:v>
      </x:c>
      <x:c r="H18" s="2"/>
      <x:c r="I18" s="2"/>
      <x:c r="J18" s="2"/>
      <x:c r="K18" s="2"/>
    </x:row>
    <x:row r="19" ht="21" customHeight="1">
      <x:c r="A19" s="2"/>
      <x:c r="B19" s="2"/>
      <x:c r="C19" s="2" t="str">
        <x:v>Cash vs program deficit / inventory / AR</x:v>
      </x:c>
      <x:c r="D19" s="2"/>
      <x:c r="E19" s="63" t="n">
        <x:f>ROUND('Cash forecast'!AB42-('Cash forecast'!D27-'Cash forecast'!AB14*'BOM'!E36-'Cash forecast'!AB51),6)</x:f>
        <x:v>0</x:v>
      </x:c>
      <x:c r="F19" s="2"/>
      <x:c r="G19" s="2" t="n">
        <x:v>0</x:v>
      </x:c>
      <x:c r="H19" s="2"/>
      <x:c r="I19" s="2"/>
      <x:c r="J19" s="2"/>
      <x:c r="K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1" customHeight="1">
      <x:c r="A22" s="2"/>
      <x:c r="B22" s="2"/>
      <x:c r="C22" s="13" t="str">
        <x:v>Review tolerance USD 0.01. Expected differences are zero. Native Excel application has not been opened.</x:v>
      </x:c>
      <x:c r="D22" s="2"/>
      <x:c r="E22" s="2"/>
      <x:c r="F22" s="2"/>
      <x:c r="G22" s="2"/>
      <x:c r="H22" s="2"/>
      <x:c r="I22" s="2"/>
      <x:c r="J22" s="2"/>
      <x:c r="K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1" customHeight="1">
      <x:c r="A24" s="2"/>
      <x:c r="B24" s="2"/>
      <x:c r="C24" s="13" t="str">
        <x:v>Budget is contingent on product/legal feasibility. No funds have been committed and no purchase orders exist.</x:v>
      </x:c>
      <x:c r="D24" s="2"/>
      <x:c r="E24" s="2"/>
      <x:c r="F24" s="2"/>
      <x:c r="G24" s="2"/>
      <x:c r="H24" s="2"/>
      <x:c r="I24" s="2"/>
      <x:c r="J24" s="2"/>
      <x:c r="K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</x:sheetData>
  <x:conditionalFormatting sqref="E8:E19">
    <x:cfRule type="cellIs" dxfId="1" priority="1" operator="notBetween">
      <x:formula>-0.01</x:formula>
      <x:formula>0.01</x:formula>
    </x:cfRule>
  </x:conditionalFormatting>
  <x:pageMargins left="0.7" right="0.7" top="0.75" bottom="0.75" header="0.3" footer="0.3"/>
</x:worksheet>
</file>